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521" yWindow="5325" windowWidth="19320" windowHeight="1335" tabRatio="839" activeTab="0"/>
  </bookViews>
  <sheets>
    <sheet name="Disclaimer" sheetId="1" r:id="rId1"/>
    <sheet name="Instructions" sheetId="2" r:id="rId2"/>
    <sheet name="Summary" sheetId="3" r:id="rId3"/>
    <sheet name="Configure System" sheetId="4" r:id="rId4"/>
    <sheet name="Configure Serverboard" sheetId="5" r:id="rId5"/>
    <sheet name="Serverboard" sheetId="6" r:id="rId6"/>
    <sheet name="Chassis Definition" sheetId="7" r:id="rId7"/>
    <sheet name="Processors" sheetId="8" r:id="rId8"/>
    <sheet name="Memory" sheetId="9" r:id="rId9"/>
    <sheet name="PCI" sheetId="10" r:id="rId10"/>
    <sheet name="HSBP" sheetId="11" r:id="rId11"/>
    <sheet name="HardDrive" sheetId="12" r:id="rId12"/>
    <sheet name="Peripherals" sheetId="13" r:id="rId13"/>
    <sheet name="Revision" sheetId="14" r:id="rId14"/>
  </sheets>
  <externalReferences>
    <externalReference r:id="rId17"/>
    <externalReference r:id="rId18"/>
  </externalReferences>
  <definedNames>
    <definedName name="Cab2_12" localSheetId="10">'[2]Intel Chassis'!#REF!</definedName>
    <definedName name="Cab2_12">'Configure System'!$G$10</definedName>
    <definedName name="Cab2_12Neg" localSheetId="10">'[2]Intel Chassis'!#REF!</definedName>
    <definedName name="Cab2_12Neg">'Configure System'!$I$10</definedName>
    <definedName name="Cab2_3.3" localSheetId="10">'[2]Intel Chassis'!#REF!</definedName>
    <definedName name="Cab2_3.3">'Configure System'!$E$10</definedName>
    <definedName name="Cab2_5" localSheetId="10">'[2]Intel Chassis'!#REF!</definedName>
    <definedName name="Cab2_5">'Configure System'!$F$10</definedName>
    <definedName name="cabc12">#REF!</definedName>
    <definedName name="cabc12neg">#REF!</definedName>
    <definedName name="Cabc3.3">#REF!</definedName>
    <definedName name="cabc5">#REF!</definedName>
    <definedName name="chas12negtot">'Summary'!$F$10</definedName>
    <definedName name="chas12tot">'Summary'!$D$10</definedName>
    <definedName name="Chas3.3">'Summary'!$B$10</definedName>
    <definedName name="chas5tot">'Summary'!$C$10</definedName>
    <definedName name="Chassis" localSheetId="10">'[2]Summary'!#REF!</definedName>
    <definedName name="Chassis">'Summary'!#REF!</definedName>
    <definedName name="Chassis2" localSheetId="10">'[2]Summary'!#REF!</definedName>
    <definedName name="Chassis2">'Summary'!#REF!</definedName>
    <definedName name="Derating">'Configure Serverboard'!$L$2</definedName>
    <definedName name="gtl_mem_duty">'[1]DIMM Memory'!#REF!</definedName>
    <definedName name="gtl_mem_sig">'[1]DIMM Memory'!#REF!</definedName>
    <definedName name="HD">#REF!</definedName>
    <definedName name="l2_cache_sz">'[1]Power Share'!$B$41</definedName>
    <definedName name="l2_passive_pwr">#REF!</definedName>
    <definedName name="L2_pwr">#REF!</definedName>
    <definedName name="num_drives">#REF!</definedName>
    <definedName name="other12" localSheetId="10">'[2]Intel Chassis'!#REF!</definedName>
    <definedName name="other12">'Configure System'!$G$10</definedName>
    <definedName name="other12neg" localSheetId="10">'[2]Intel Chassis'!#REF!</definedName>
    <definedName name="other12neg">'Configure System'!$I$10</definedName>
    <definedName name="other3.3" localSheetId="10">'[2]Intel Chassis'!#REF!</definedName>
    <definedName name="other3.3">'Configure System'!$E$10</definedName>
    <definedName name="other5" localSheetId="10">'[2]Intel Chassis'!#REF!</definedName>
    <definedName name="other5">'Configure System'!$F$10</definedName>
    <definedName name="PCore_pwr">#REF!</definedName>
    <definedName name="population">'Processors'!$A$37:$A$38</definedName>
    <definedName name="PowerSupplySpecs" localSheetId="10">'[2]Intel Chassis'!#REF!</definedName>
    <definedName name="PowerSupplySpecs">'Configure System'!#REF!</definedName>
    <definedName name="PowerTotal">'Summary'!$I$11</definedName>
    <definedName name="_xlnm.Print_Area" localSheetId="6">'Chassis Definition'!$A$1:$P$10</definedName>
    <definedName name="_xlnm.Print_Area" localSheetId="4">'Configure Serverboard'!$A$1:$K$20</definedName>
    <definedName name="_xlnm.Print_Area" localSheetId="3">'Configure System'!$A$1:$L$14</definedName>
    <definedName name="_xlnm.Print_Area" localSheetId="11">'HardDrive'!$A$1:$F$14</definedName>
    <definedName name="_xlnm.Print_Area" localSheetId="1">'Instructions'!$A$1:$A$50</definedName>
    <definedName name="_xlnm.Print_Area" localSheetId="8">'Memory'!$A$4:$K$20</definedName>
    <definedName name="_xlnm.Print_Area" localSheetId="9">'PCI'!$A$1:$F$19</definedName>
    <definedName name="_xlnm.Print_Area" localSheetId="12">'Peripherals'!$A$1:$G$19</definedName>
    <definedName name="_xlnm.Print_Area" localSheetId="7">'Processors'!$A$1:$D$33</definedName>
    <definedName name="_xlnm.Print_Area" localSheetId="5">'Serverboard'!$A$1:$H$11</definedName>
    <definedName name="_xlnm.Print_Area" localSheetId="2">'Summary'!$A$1:$I$28</definedName>
    <definedName name="proc_freq">'[1]Power Share'!$B$40</definedName>
    <definedName name="Proc_pwr">#REF!</definedName>
    <definedName name="PS1">'Configure System'!#REF!</definedName>
    <definedName name="PS1_12" localSheetId="10">'[2]Summary'!#REF!</definedName>
    <definedName name="PS1_12">'Summary'!$D$12</definedName>
    <definedName name="PS1_12Neg" localSheetId="10">'[2]Summary'!#REF!</definedName>
    <definedName name="PS1_12Neg">'Summary'!$F$12</definedName>
    <definedName name="PS1_3.3" localSheetId="10">'[2]Summary'!#REF!</definedName>
    <definedName name="PS1_3.3">'Summary'!$B$12</definedName>
    <definedName name="ps1_33" localSheetId="10">'[2]Summary'!#REF!</definedName>
    <definedName name="ps1_33">'Summary'!#REF!</definedName>
    <definedName name="PS1_5" localSheetId="10">'[2]Summary'!#REF!</definedName>
    <definedName name="PS1_5">'Summary'!$C$12</definedName>
    <definedName name="PS1_5VSB" localSheetId="10">'[2]Summary'!#REF!</definedName>
    <definedName name="PS1_5VSB">'Summary'!$G$12</definedName>
    <definedName name="PS13.3" localSheetId="10">'[2]Summary'!#REF!</definedName>
    <definedName name="PS13.3">'Summary'!$B$12</definedName>
    <definedName name="ps1CombLim" localSheetId="10">'[2]Summary'!#REF!</definedName>
    <definedName name="ps1CombLim">'Summary'!$I$12</definedName>
    <definedName name="ps2">'Configure System'!#REF!</definedName>
    <definedName name="PS2_12" localSheetId="10">'[2]Summary'!#REF!</definedName>
    <definedName name="PS2_12">'Summary'!#REF!</definedName>
    <definedName name="PS2_12neg" localSheetId="10">'[2]Summary'!#REF!</definedName>
    <definedName name="PS2_12neg">'Summary'!#REF!</definedName>
    <definedName name="PS2_3.3" localSheetId="10">'[2]Summary'!#REF!</definedName>
    <definedName name="PS2_3.3">'Summary'!#REF!</definedName>
    <definedName name="PS2_5" localSheetId="10">'[2]Summary'!#REF!</definedName>
    <definedName name="PS2_5">'Summary'!#REF!</definedName>
    <definedName name="PS2CombLim" localSheetId="10">'[2]Summary'!#REF!</definedName>
    <definedName name="PS2CombLim">'Summary'!#REF!</definedName>
    <definedName name="ps3">'Configure System'!#REF!</definedName>
    <definedName name="ps4">'Configure System'!#REF!</definedName>
    <definedName name="PS5" localSheetId="10">'[2]Intel Chassis'!#REF!</definedName>
    <definedName name="PS5">'Configure System'!#REF!</definedName>
    <definedName name="PSQuan" localSheetId="10">'[2]Summary'!#REF!</definedName>
    <definedName name="PSQuan">'Summary'!#REF!</definedName>
    <definedName name="sb12">'Configure Serverboard'!$F$16</definedName>
    <definedName name="sb12lim" localSheetId="10">'[2]Serverboard Config'!#REF!</definedName>
    <definedName name="sb12lim">'Configure Serverboard'!#REF!</definedName>
    <definedName name="sb12Neg">'Configure Serverboard'!$H$16</definedName>
    <definedName name="SB3.3">'Configure Serverboard'!$D$16</definedName>
    <definedName name="sb3.3lim" localSheetId="10">'[2]Serverboard Config'!#REF!</definedName>
    <definedName name="sb3.3lim">'Configure Serverboard'!#REF!</definedName>
    <definedName name="sb5">'Configure Serverboard'!$E$16</definedName>
    <definedName name="sb5lim" localSheetId="10">'[2]Serverboard Config'!#REF!</definedName>
    <definedName name="sb5lim">'Configure Serverboard'!#REF!</definedName>
    <definedName name="sb5VSB">'Configure Serverboard'!$I$16</definedName>
    <definedName name="sbPower" localSheetId="10">'[2]Serverboard Config'!#REF!</definedName>
    <definedName name="sbPower">'Configure Serverboard'!#REF!</definedName>
    <definedName name="Sys12" localSheetId="10">'[2]Intel Chassis'!#REF!</definedName>
    <definedName name="Sys12">'Configure System'!$G$10</definedName>
    <definedName name="Sys12Neg" localSheetId="10">'[2]Intel Chassis'!#REF!</definedName>
    <definedName name="Sys12Neg">'Configure System'!$I$10</definedName>
    <definedName name="Sys3.3" localSheetId="10">'[2]Intel Chassis'!#REF!</definedName>
    <definedName name="Sys3.3">'Configure System'!$E$10</definedName>
    <definedName name="Sys5" localSheetId="10">'[2]Intel Chassis'!#REF!</definedName>
    <definedName name="Sys5">'Configure System'!$F$10</definedName>
    <definedName name="VRMeff">'Configure Serverboard'!$L$2</definedName>
    <definedName name="VRMefficiency">'Configure Serverboard'!$M$2</definedName>
  </definedNames>
  <calcPr fullCalcOnLoad="1"/>
</workbook>
</file>

<file path=xl/sharedStrings.xml><?xml version="1.0" encoding="utf-8"?>
<sst xmlns="http://schemas.openxmlformats.org/spreadsheetml/2006/main" count="422" uniqueCount="250">
  <si>
    <t>Description</t>
  </si>
  <si>
    <t>Memory</t>
  </si>
  <si>
    <t>Processor Types</t>
  </si>
  <si>
    <t>-12V</t>
  </si>
  <si>
    <t>&lt;-- Define Custom Numbers Here</t>
  </si>
  <si>
    <t>&lt;-- Define Custom Card Here</t>
  </si>
  <si>
    <t>Misc Peripherals</t>
  </si>
  <si>
    <t>Hard Drives</t>
  </si>
  <si>
    <r>
      <t xml:space="preserve">Amps of </t>
    </r>
    <r>
      <rPr>
        <b/>
        <sz val="10"/>
        <color indexed="9"/>
        <rFont val="Arial"/>
        <family val="2"/>
      </rPr>
      <t>+3.3V</t>
    </r>
  </si>
  <si>
    <r>
      <t xml:space="preserve">Amps of </t>
    </r>
    <r>
      <rPr>
        <b/>
        <sz val="10"/>
        <color indexed="9"/>
        <rFont val="Arial"/>
        <family val="2"/>
      </rPr>
      <t>+5V</t>
    </r>
  </si>
  <si>
    <r>
      <t xml:space="preserve">Amps of </t>
    </r>
    <r>
      <rPr>
        <b/>
        <sz val="10"/>
        <color indexed="9"/>
        <rFont val="Arial"/>
        <family val="2"/>
      </rPr>
      <t>+12V</t>
    </r>
  </si>
  <si>
    <t>Qty</t>
  </si>
  <si>
    <t>Empty</t>
  </si>
  <si>
    <t>5V VRM</t>
  </si>
  <si>
    <t>12V VRM</t>
  </si>
  <si>
    <t>VRM#1</t>
  </si>
  <si>
    <t>VRM#2</t>
  </si>
  <si>
    <t>None</t>
  </si>
  <si>
    <t>Chassis &amp; Peripherals:</t>
  </si>
  <si>
    <t>User Definable</t>
  </si>
  <si>
    <t>+3.3V (amps)</t>
  </si>
  <si>
    <t>+5V (amps)</t>
  </si>
  <si>
    <t xml:space="preserve"> +12V (amps)</t>
  </si>
  <si>
    <t>Serverboard Feature</t>
  </si>
  <si>
    <t>Power Budget</t>
  </si>
  <si>
    <t xml:space="preserve">        Power Budget Instructions</t>
  </si>
  <si>
    <t>Slot Empty</t>
  </si>
  <si>
    <t>Negative margins show configuration exceeds a specified limit.</t>
  </si>
  <si>
    <t>Quantity:</t>
  </si>
  <si>
    <t>3.3V</t>
  </si>
  <si>
    <t>5V</t>
  </si>
  <si>
    <t>12V</t>
  </si>
  <si>
    <t>W</t>
  </si>
  <si>
    <t>System Margins so far:</t>
  </si>
  <si>
    <t>Tape Drive</t>
  </si>
  <si>
    <t xml:space="preserve">Total System Watts </t>
  </si>
  <si>
    <t>Total System usage:</t>
  </si>
  <si>
    <t>TDP (W)</t>
  </si>
  <si>
    <t>Serverboard</t>
  </si>
  <si>
    <t>Chassis</t>
  </si>
  <si>
    <t>Watts</t>
  </si>
  <si>
    <t>System Totals</t>
  </si>
  <si>
    <t>Serverboard:</t>
  </si>
  <si>
    <t>System Feature</t>
  </si>
  <si>
    <t>Selection</t>
  </si>
  <si>
    <t>3V</t>
  </si>
  <si>
    <t>Fans</t>
  </si>
  <si>
    <t>Power (watts)</t>
  </si>
  <si>
    <t>Power
(watts)</t>
  </si>
  <si>
    <t>Chassis/ Power Supply / Cooling:</t>
  </si>
  <si>
    <t>SubTotals:</t>
  </si>
  <si>
    <t>SubTotal Serverboard Power (Watts):</t>
  </si>
  <si>
    <t>Press the Start button to begin using the Power Budget Tool</t>
  </si>
  <si>
    <t>Source</t>
  </si>
  <si>
    <t>Margin compared to Limits:</t>
  </si>
  <si>
    <t>Margins to Limit:</t>
  </si>
  <si>
    <t>System Totals:</t>
  </si>
  <si>
    <t>Margins compared to Limits:</t>
  </si>
  <si>
    <t xml:space="preserve">Backplane: </t>
  </si>
  <si>
    <t>Chassis:</t>
  </si>
  <si>
    <t>&lt;-- Define Custom Peripherals Here</t>
  </si>
  <si>
    <t>&lt;-- Define Custom Device Here</t>
  </si>
  <si>
    <t>Processor Quantities (used for tool operation)</t>
  </si>
  <si>
    <t>Note:</t>
  </si>
  <si>
    <t xml:space="preserve"> </t>
  </si>
  <si>
    <t xml:space="preserve">User Definable </t>
  </si>
  <si>
    <t>SubTotal Chassis Power (Watts):</t>
  </si>
  <si>
    <t>Number of Devices (100mA/device)</t>
  </si>
  <si>
    <t>Date</t>
  </si>
  <si>
    <t>Rev</t>
  </si>
  <si>
    <t>Notes</t>
  </si>
  <si>
    <t>Init</t>
  </si>
  <si>
    <t>*This line includes correction factors.</t>
  </si>
  <si>
    <t>&lt;=== Linked to Summary Tab.</t>
  </si>
  <si>
    <r>
      <t>Note: HS Fan  (Y/N) determines if an Active Heatsink (Heatsink with Fan) in Intel</t>
    </r>
    <r>
      <rPr>
        <vertAlign val="superscript"/>
        <sz val="9"/>
        <rFont val="Arial"/>
        <family val="2"/>
      </rPr>
      <t>®</t>
    </r>
    <r>
      <rPr>
        <sz val="9"/>
        <rFont val="Arial"/>
        <family val="2"/>
      </rPr>
      <t xml:space="preserve"> Boxed Processors is used (adds fan power to budget)</t>
    </r>
  </si>
  <si>
    <t>HS Fan (A)</t>
  </si>
  <si>
    <t>Max</t>
  </si>
  <si>
    <t>HDD</t>
  </si>
  <si>
    <t>Choose Input Voltages:</t>
  </si>
  <si>
    <t>PS Eff%</t>
  </si>
  <si>
    <t>110v</t>
  </si>
  <si>
    <t>220v</t>
  </si>
  <si>
    <t>Note: Estimates are most accurate at max loading.</t>
  </si>
  <si>
    <t>3.3v/5v</t>
  </si>
  <si>
    <t>Max W</t>
  </si>
  <si>
    <t>Total</t>
  </si>
  <si>
    <t>Max 3.3v/5v (watts)</t>
  </si>
  <si>
    <t>Note: PS Eff is estimate @ typ voltage &amp; 35% to 90% loading based on PS measurement data.</t>
  </si>
  <si>
    <t>System Power Level Verification Test Report &amp; VR</t>
  </si>
  <si>
    <r>
      <t>Note: HS Fan = Fan 12v current for Active Heatsink which ships with Intel</t>
    </r>
    <r>
      <rPr>
        <vertAlign val="superscript"/>
        <sz val="10"/>
        <rFont val="Arial"/>
        <family val="2"/>
      </rPr>
      <t>®</t>
    </r>
    <r>
      <rPr>
        <sz val="10"/>
        <rFont val="Arial"/>
        <family val="2"/>
      </rPr>
      <t xml:space="preserve"> Boxed Processors</t>
    </r>
  </si>
  <si>
    <t>PCI Add in Cards</t>
  </si>
  <si>
    <t>(Select Serverboard)</t>
  </si>
  <si>
    <t>(Select Chassis)</t>
  </si>
  <si>
    <t>(Select Processor)</t>
  </si>
  <si>
    <t>(Select Memory)</t>
  </si>
  <si>
    <t>Estimated Thermal Dissipation:</t>
  </si>
  <si>
    <t>Estimated Inlet Current:</t>
  </si>
  <si>
    <t>Estimated  Inlet Power:</t>
  </si>
  <si>
    <t xml:space="preserve">Includes System &amp; Memory Fans </t>
  </si>
  <si>
    <t>CPU VRM Efficiency</t>
  </si>
  <si>
    <t>3.3v VRM Efficiency</t>
  </si>
  <si>
    <t>5v VRM Efficiency</t>
  </si>
  <si>
    <t>CPU
VRM%</t>
  </si>
  <si>
    <t>5v
VRM%</t>
  </si>
  <si>
    <t>3v
VRM%</t>
  </si>
  <si>
    <t xml:space="preserve">HSBP </t>
  </si>
  <si>
    <t>VR Eff%</t>
  </si>
  <si>
    <r>
      <t>Amps of    -</t>
    </r>
    <r>
      <rPr>
        <b/>
        <sz val="10"/>
        <color indexed="10"/>
        <rFont val="Arial"/>
        <family val="2"/>
      </rPr>
      <t>12V</t>
    </r>
  </si>
  <si>
    <t>Amps of 3vsb</t>
  </si>
  <si>
    <r>
      <t>Amps of    -1</t>
    </r>
    <r>
      <rPr>
        <b/>
        <sz val="10"/>
        <color indexed="10"/>
        <rFont val="Arial"/>
        <family val="2"/>
      </rPr>
      <t>2V</t>
    </r>
  </si>
  <si>
    <t>2.5" SAS Typical Power (9W)</t>
  </si>
  <si>
    <t xml:space="preserve">Slim-line Bay: </t>
  </si>
  <si>
    <t xml:space="preserve">USB: </t>
  </si>
  <si>
    <t>2.5" SATA Typical Power (5W)</t>
  </si>
  <si>
    <t>PS limits</t>
  </si>
  <si>
    <t>AC Input Voltage:</t>
  </si>
  <si>
    <t># of DIMMS</t>
  </si>
  <si>
    <t>DIMM power will vary depending on the # of DIMMs &amp; the actual strees/bandwidth used.</t>
  </si>
  <si>
    <t xml:space="preserve">1st Hard Drive Type: </t>
  </si>
  <si>
    <t xml:space="preserve">2nd Hard Drive Type: </t>
  </si>
  <si>
    <t>Slim-Line Devices</t>
  </si>
  <si>
    <t>Watts of +12V</t>
  </si>
  <si>
    <t>PCIe (3.3V/12V) 10W</t>
  </si>
  <si>
    <t>PCIe (3.3V/12V) 15W</t>
  </si>
  <si>
    <t>PCIe (3.3V/12V) Max 25W</t>
  </si>
  <si>
    <t>5VSB</t>
  </si>
  <si>
    <t>5VSB (amps)</t>
  </si>
  <si>
    <t>5V 
stby (amps)</t>
  </si>
  <si>
    <t>IO Modules</t>
  </si>
  <si>
    <t>IO Module Slot:</t>
  </si>
  <si>
    <t>TAB</t>
  </si>
  <si>
    <t>Initial Release based on S7000FC4UR Format</t>
  </si>
  <si>
    <t>S5500WB12V Serverboard</t>
  </si>
  <si>
    <t>PCI Slot 6/riser-1:</t>
  </si>
  <si>
    <t>PCI Slot 6/riser-2:</t>
  </si>
  <si>
    <t xml:space="preserve">  </t>
  </si>
  <si>
    <t>USB floppy drive</t>
  </si>
  <si>
    <t>Other Peripheral Devices</t>
  </si>
  <si>
    <t xml:space="preserve">Other devices: </t>
  </si>
  <si>
    <t>Backplane / Midplane</t>
  </si>
  <si>
    <t>+3.3V (A)</t>
  </si>
  <si>
    <t>+5V (A)</t>
  </si>
  <si>
    <t>-12V (A)</t>
  </si>
  <si>
    <t xml:space="preserve"> 5vsb (A)</t>
  </si>
  <si>
    <t>Select Backplane or Midplane</t>
  </si>
  <si>
    <t>Single DIMM 100% utilization power</t>
  </si>
  <si>
    <t>Power of full population @ 100% untilization</t>
  </si>
  <si>
    <t>CPU 2 Memory:</t>
  </si>
  <si>
    <t>CPU 1 Memory:</t>
  </si>
  <si>
    <t>Source: Willowbrook Power budget Ver 1.5 at 81% utilization</t>
  </si>
  <si>
    <t>DDR3 800 2GB DRx8 UDIMM</t>
  </si>
  <si>
    <t>DDR3 1333 2GB DRx8 UDIMM</t>
  </si>
  <si>
    <t>DDR3 1067 2GB DRx8 UDIMM</t>
  </si>
  <si>
    <t xml:space="preserve">DDR3 800   2GB QRx8 </t>
  </si>
  <si>
    <t>DDR3 1067 2GB QRx8</t>
  </si>
  <si>
    <t>DDR3 1333 2GB QRx8</t>
  </si>
  <si>
    <t>DDR3 800   2GB DRx4</t>
  </si>
  <si>
    <t>DDR3 1067 2GB DRx4</t>
  </si>
  <si>
    <t>DDR3 1333 2GB DRx4</t>
  </si>
  <si>
    <t>Example 1</t>
  </si>
  <si>
    <t>Example Passive Midplane &amp; HSBP</t>
  </si>
  <si>
    <t>AXXIBQDRMOD Infiniband single port QDR</t>
  </si>
  <si>
    <t>AXX10GBIOMOD Dual port 10Gbe</t>
  </si>
  <si>
    <t>AXX4GBIOMOD2 Quad port Gbe</t>
  </si>
  <si>
    <t>AXXSASIOMOD external 4 port-SAS</t>
  </si>
  <si>
    <t>AXXGBIOMOD Dual Gbe Ophir</t>
  </si>
  <si>
    <t>Intel® X25-E SATA Solid State Drive 32G</t>
  </si>
  <si>
    <t>Intel® X25-E SATA Solid State Drive 64G</t>
  </si>
  <si>
    <t>AXXROMBSASMR Internal Raid</t>
  </si>
  <si>
    <t>3.5" SATA Typical Power (12W)</t>
  </si>
  <si>
    <t>3.5" SAS Typical Power (15W)</t>
  </si>
  <si>
    <t>3.5" Maximum Power  (18W)</t>
  </si>
  <si>
    <t>DVD drive</t>
  </si>
  <si>
    <t xml:space="preserve"> +12VBB (amps)</t>
  </si>
  <si>
    <t>12V CPU1 (amps)</t>
  </si>
  <si>
    <t>12V CPU2 (amps)</t>
  </si>
  <si>
    <t>12BB</t>
  </si>
  <si>
    <t>12VBB</t>
  </si>
  <si>
    <t>12V CPU1</t>
  </si>
  <si>
    <t>12V CPU2</t>
  </si>
  <si>
    <t xml:space="preserve">PCI </t>
  </si>
  <si>
    <t>slots</t>
  </si>
  <si>
    <t>+12VBB</t>
  </si>
  <si>
    <t xml:space="preserve"> 12V CPU1 (amps)</t>
  </si>
  <si>
    <t>Processors 2:</t>
  </si>
  <si>
    <t>Processors 1:</t>
  </si>
  <si>
    <t>.</t>
  </si>
  <si>
    <r>
      <t xml:space="preserve">Amps of </t>
    </r>
    <r>
      <rPr>
        <b/>
        <sz val="10"/>
        <color indexed="9"/>
        <rFont val="Arial"/>
        <family val="2"/>
      </rPr>
      <t>+12VBB</t>
    </r>
  </si>
  <si>
    <t>RMM Module</t>
  </si>
  <si>
    <t>RMM Modules</t>
  </si>
  <si>
    <t xml:space="preserve"> 12V CPU2 (amps)</t>
  </si>
  <si>
    <t>Memory:</t>
  </si>
  <si>
    <t>Processors</t>
  </si>
  <si>
    <t>HSBP 5V VRM Efficiency</t>
  </si>
  <si>
    <t>Onboard 5V VRM efficiency</t>
  </si>
  <si>
    <t>Onboard 3.3V VR efficiency</t>
  </si>
  <si>
    <t>PCI Slot 6:</t>
  </si>
  <si>
    <t>PCI Slot1:</t>
  </si>
  <si>
    <t>Form factor</t>
  </si>
  <si>
    <t>1U</t>
  </si>
  <si>
    <t>PCIe (3.3V/12V) 5W</t>
  </si>
  <si>
    <t>updated sheet to better serve 12V only boards</t>
  </si>
  <si>
    <t>2U</t>
  </si>
  <si>
    <t>Power Supply DC Limits:</t>
  </si>
  <si>
    <t xml:space="preserve"> Volts</t>
  </si>
  <si>
    <t xml:space="preserve"> Watts</t>
  </si>
  <si>
    <t xml:space="preserve"> Amps</t>
  </si>
  <si>
    <t>BTU/Hr</t>
  </si>
  <si>
    <t>AC inlet power estimate</t>
  </si>
  <si>
    <t>Note: if the power supply has a single 12V supply for the 12VBB, 12V CPU1 and 12V CPU2 rails, the usage and limits are aggregated here:</t>
  </si>
  <si>
    <t>Aggregate 12V system total</t>
  </si>
  <si>
    <t>Aggregate 12V DC limits</t>
  </si>
  <si>
    <t>Aggregate 12V margin</t>
  </si>
  <si>
    <t>sample 2</t>
  </si>
  <si>
    <t>big one</t>
  </si>
  <si>
    <t>mine</t>
  </si>
  <si>
    <t>cd rom</t>
  </si>
  <si>
    <t>tiny one</t>
  </si>
  <si>
    <t>AXXRMM3 Intel Remote Management</t>
  </si>
  <si>
    <t>updated sheet to correct summary page memory power links</t>
  </si>
  <si>
    <t>Intel® Xeon® Processor L5506</t>
  </si>
  <si>
    <t>Intel® Xeon® Processor L5520</t>
  </si>
  <si>
    <t>Intel® Xeon® Processor L5530</t>
  </si>
  <si>
    <t xml:space="preserve"> Intel® Xeon® Processor E5502</t>
  </si>
  <si>
    <t>Intel® Xeon® Processor E5503</t>
  </si>
  <si>
    <t>Intel® Xeon® Processor E5504</t>
  </si>
  <si>
    <t>Intel® Xeon® Processor E5506</t>
  </si>
  <si>
    <t>Intel® Xeon® Processor E5507</t>
  </si>
  <si>
    <t xml:space="preserve"> Intel® Xeon® Processor E5520</t>
  </si>
  <si>
    <t>Intel® Xeon® Processor E5530</t>
  </si>
  <si>
    <t>Intel® Xeon® Processor E5540</t>
  </si>
  <si>
    <t>Intel® Xeon® Processor X5550</t>
  </si>
  <si>
    <t>Intel® Xeon® Processor X5560</t>
  </si>
  <si>
    <t>Intel® Xeon® Processor X5570</t>
  </si>
  <si>
    <t>Intel® Xeon® Processor L5609</t>
  </si>
  <si>
    <t>Intel® Xeon® Processor L5630</t>
  </si>
  <si>
    <t>Intel® Xeon® Processor L5640</t>
  </si>
  <si>
    <t>Intel® Xeon® Processor E5603</t>
  </si>
  <si>
    <t>Intel® Xeon® Processor E5606</t>
  </si>
  <si>
    <t>Intel® Xeon® Processor E5607</t>
  </si>
  <si>
    <t>Intel® Xeon® Processor E5620</t>
  </si>
  <si>
    <t>Intel® Xeon® Processor E5630</t>
  </si>
  <si>
    <t>Intel® Xeon® Processor E5640</t>
  </si>
  <si>
    <t>Intel® Xeon® Processor E5649</t>
  </si>
  <si>
    <t>Intel® Xeon® Processor X5650</t>
  </si>
  <si>
    <t>Intel® Xeon® Processor X5660</t>
  </si>
  <si>
    <t>Intel® Xeon® Processor X5667</t>
  </si>
  <si>
    <t>Intel® Xeon® Processor X5670</t>
  </si>
  <si>
    <t>Intel® Xeon® Processor X5672</t>
  </si>
  <si>
    <t>Intel® Xeon® Processor X5675</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</si>
</sst>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0.0"/>
    <numFmt numFmtId="177" formatCode="0.0#"/>
    <numFmt numFmtId="178" formatCode="[$-409]dddd\,\ mmmm\ dd\,\ yyyy"/>
    <numFmt numFmtId="179" formatCode="00000"/>
    <numFmt numFmtId="180" formatCode="mmm\-yyyy"/>
    <numFmt numFmtId="181" formatCode="[$-409]h:mm:ss\ AM/PM"/>
    <numFmt numFmtId="182" formatCode="\X"/>
    <numFmt numFmtId="183" formatCode="\ "/>
    <numFmt numFmtId="184" formatCode="0.0%"/>
    <numFmt numFmtId="185" formatCode="#"/>
    <numFmt numFmtId="186" formatCode="#.#"/>
    <numFmt numFmtId="187" formatCode="#.##"/>
    <numFmt numFmtId="188" formatCode="0.000"/>
    <numFmt numFmtId="189" formatCode="&quot;Yes&quot;;&quot;Yes&quot;;&quot;No&quot;"/>
    <numFmt numFmtId="190" formatCode="&quot;True&quot;;&quot;True&quot;;&quot;False&quot;"/>
    <numFmt numFmtId="191" formatCode="&quot;On&quot;;&quot;On&quot;;&quot;Off&quot;"/>
    <numFmt numFmtId="192" formatCode="[$€-2]\ #,##0.00_);[Red]\([$€-2]\ #,##0.00\)"/>
    <numFmt numFmtId="193" formatCode="#,##0.000"/>
    <numFmt numFmtId="194" formatCode="###&quot;Gbyte&quot;"/>
    <numFmt numFmtId="195" formatCode="0.#\ \W"/>
    <numFmt numFmtId="196" formatCode="#.#\ \W"/>
    <numFmt numFmtId="197" formatCode="0.0\V"/>
    <numFmt numFmtId="198" formatCode="0.00\V"/>
    <numFmt numFmtId="199" formatCode="0.00\A"/>
  </numFmts>
  <fonts count="86">
    <font>
      <sz val="10"/>
      <name val="Arial"/>
      <family val="2"/>
    </font>
    <font>
      <b/>
      <sz val="10"/>
      <name val="Arial"/>
      <family val="2"/>
    </font>
    <font>
      <i/>
      <sz val="10"/>
      <name val="Arial"/>
      <family val="2"/>
    </font>
    <font>
      <b/>
      <i/>
      <sz val="10"/>
      <name val="Arial"/>
      <family val="2"/>
    </font>
    <font>
      <sz val="7"/>
      <name val="Small Fonts"/>
      <family val="2"/>
    </font>
    <font>
      <sz val="8"/>
      <name val="Arial"/>
      <family val="2"/>
    </font>
    <font>
      <b/>
      <sz val="10"/>
      <color indexed="9"/>
      <name val="Arial"/>
      <family val="2"/>
    </font>
    <font>
      <b/>
      <sz val="12"/>
      <color indexed="9"/>
      <name val="Arial"/>
      <family val="2"/>
    </font>
    <font>
      <b/>
      <sz val="12"/>
      <color indexed="62"/>
      <name val="Arial"/>
      <family val="2"/>
    </font>
    <font>
      <b/>
      <sz val="10"/>
      <color indexed="18"/>
      <name val="Arial"/>
      <family val="2"/>
    </font>
    <font>
      <sz val="10"/>
      <color indexed="18"/>
      <name val="Arial"/>
      <family val="2"/>
    </font>
    <font>
      <b/>
      <sz val="12"/>
      <color indexed="18"/>
      <name val="Arial"/>
      <family val="2"/>
    </font>
    <font>
      <b/>
      <sz val="8"/>
      <color indexed="9"/>
      <name val="Arial"/>
      <family val="2"/>
    </font>
    <font>
      <sz val="10"/>
      <color indexed="23"/>
      <name val="Arial"/>
      <family val="2"/>
    </font>
    <font>
      <sz val="10"/>
      <color indexed="9"/>
      <name val="Arial"/>
      <family val="2"/>
    </font>
    <font>
      <b/>
      <sz val="18"/>
      <color indexed="9"/>
      <name val="Arial"/>
      <family val="2"/>
    </font>
    <font>
      <sz val="12"/>
      <color indexed="18"/>
      <name val="Arial"/>
      <family val="2"/>
    </font>
    <font>
      <b/>
      <sz val="14"/>
      <color indexed="18"/>
      <name val="Arial"/>
      <family val="2"/>
    </font>
    <font>
      <b/>
      <sz val="12"/>
      <name val="Arial"/>
      <family val="2"/>
    </font>
    <font>
      <u val="single"/>
      <sz val="10"/>
      <color indexed="12"/>
      <name val="Arial"/>
      <family val="2"/>
    </font>
    <font>
      <u val="single"/>
      <sz val="10"/>
      <color indexed="36"/>
      <name val="Arial"/>
      <family val="2"/>
    </font>
    <font>
      <b/>
      <sz val="16"/>
      <color indexed="9"/>
      <name val="Arial"/>
      <family val="2"/>
    </font>
    <font>
      <sz val="10"/>
      <color indexed="63"/>
      <name val="Arial"/>
      <family val="2"/>
    </font>
    <font>
      <b/>
      <sz val="12"/>
      <color indexed="21"/>
      <name val="Arial"/>
      <family val="2"/>
    </font>
    <font>
      <b/>
      <sz val="12"/>
      <color indexed="56"/>
      <name val="Arial"/>
      <family val="2"/>
    </font>
    <font>
      <i/>
      <sz val="10"/>
      <color indexed="18"/>
      <name val="Arial"/>
      <family val="2"/>
    </font>
    <font>
      <sz val="14"/>
      <name val="Arial"/>
      <family val="2"/>
    </font>
    <font>
      <b/>
      <sz val="14"/>
      <name val="Arial"/>
      <family val="2"/>
    </font>
    <font>
      <b/>
      <sz val="10"/>
      <color indexed="15"/>
      <name val="Arial"/>
      <family val="2"/>
    </font>
    <font>
      <b/>
      <sz val="10"/>
      <color indexed="10"/>
      <name val="Arial"/>
      <family val="2"/>
    </font>
    <font>
      <strike/>
      <sz val="10"/>
      <name val="Arial"/>
      <family val="2"/>
    </font>
    <font>
      <vertAlign val="superscript"/>
      <sz val="10"/>
      <name val="Arial"/>
      <family val="2"/>
    </font>
    <font>
      <sz val="9"/>
      <name val="Arial"/>
      <family val="2"/>
    </font>
    <font>
      <vertAlign val="superscript"/>
      <sz val="9"/>
      <name val="Arial"/>
      <family val="2"/>
    </font>
    <font>
      <b/>
      <sz val="10"/>
      <color indexed="12"/>
      <name val="Arial"/>
      <family val="2"/>
    </font>
    <font>
      <sz val="10"/>
      <color indexed="10"/>
      <name val="Arial"/>
      <family val="2"/>
    </font>
    <font>
      <sz val="10"/>
      <color indexed="8"/>
      <name val="Arial"/>
      <family val="2"/>
    </font>
    <font>
      <sz val="12"/>
      <name val="Arial"/>
      <family val="2"/>
    </font>
    <font>
      <b/>
      <sz val="8"/>
      <color indexed="10"/>
      <name val="Arial"/>
      <family val="2"/>
    </font>
    <font>
      <i/>
      <sz val="10"/>
      <color indexed="10"/>
      <name val="Arial"/>
      <family val="2"/>
    </font>
    <font>
      <b/>
      <sz val="12"/>
      <color indexed="10"/>
      <name val="Arial"/>
      <family val="2"/>
    </font>
    <font>
      <sz val="10"/>
      <color indexed="22"/>
      <name val="Arial"/>
      <family val="2"/>
    </font>
    <font>
      <b/>
      <sz val="14"/>
      <color indexed="12"/>
      <name val="Arial"/>
      <family val="2"/>
    </font>
    <font>
      <b/>
      <sz val="12"/>
      <color indexed="12"/>
      <name val="Arial"/>
      <family val="2"/>
    </font>
    <font>
      <sz val="10"/>
      <name val="Helv"/>
      <family val="2"/>
    </font>
    <font>
      <sz val="12"/>
      <name val="Arial Narrow"/>
      <family val="2"/>
    </font>
    <font>
      <i/>
      <sz val="12"/>
      <name val="Arial"/>
      <family val="2"/>
    </font>
    <font>
      <b/>
      <i/>
      <sz val="12"/>
      <name val="Arial"/>
      <family val="2"/>
    </font>
    <font>
      <sz val="11"/>
      <color indexed="8"/>
      <name val="宋体"/>
      <family val="0"/>
    </font>
    <font>
      <sz val="11"/>
      <color indexed="9"/>
      <name val="宋体"/>
      <family val="0"/>
    </font>
    <font>
      <sz val="11"/>
      <color indexed="20"/>
      <name val="宋体"/>
      <family val="0"/>
    </font>
    <font>
      <b/>
      <sz val="11"/>
      <color indexed="10"/>
      <name val="宋体"/>
      <family val="0"/>
    </font>
    <font>
      <b/>
      <sz val="11"/>
      <color indexed="9"/>
      <name val="宋体"/>
      <family val="0"/>
    </font>
    <font>
      <i/>
      <sz val="11"/>
      <color indexed="23"/>
      <name val="宋体"/>
      <family val="0"/>
    </font>
    <font>
      <sz val="11"/>
      <color indexed="17"/>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sz val="11"/>
      <color indexed="10"/>
      <name val="宋体"/>
      <family val="0"/>
    </font>
    <font>
      <sz val="11"/>
      <color indexed="19"/>
      <name val="宋体"/>
      <family val="0"/>
    </font>
    <font>
      <b/>
      <sz val="11"/>
      <color indexed="63"/>
      <name val="宋体"/>
      <family val="0"/>
    </font>
    <font>
      <b/>
      <sz val="18"/>
      <color indexed="62"/>
      <name val="宋体"/>
      <family val="0"/>
    </font>
    <font>
      <b/>
      <sz val="11"/>
      <color indexed="8"/>
      <name val="宋体"/>
      <family val="0"/>
    </font>
    <font>
      <sz val="10"/>
      <color indexed="8"/>
      <name val="宋体"/>
      <family val="0"/>
    </font>
    <font>
      <sz val="8"/>
      <name val="Tahoma"/>
      <family val="2"/>
    </font>
    <font>
      <b/>
      <i/>
      <sz val="16"/>
      <color indexed="8"/>
      <name val="Arial"/>
      <family val="2"/>
    </font>
    <font>
      <b/>
      <sz val="12"/>
      <color indexed="8"/>
      <name val="Arial"/>
      <family val="2"/>
    </font>
    <font>
      <sz val="11"/>
      <color theme="1"/>
      <name val="Calibri"/>
      <family val="0"/>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mbria"/>
      <family val="0"/>
    </font>
    <font>
      <b/>
      <sz val="11"/>
      <color theme="1"/>
      <name val="Calibri"/>
      <family val="0"/>
    </font>
    <font>
      <sz val="11"/>
      <color rgb="FFFF0000"/>
      <name val="Calibri"/>
      <family val="0"/>
    </font>
    <font>
      <sz val="10"/>
      <color theme="1"/>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8"/>
        <bgColor indexed="64"/>
      </patternFill>
    </fill>
    <fill>
      <patternFill patternType="solid">
        <fgColor indexed="13"/>
        <bgColor indexed="64"/>
      </patternFill>
    </fill>
    <fill>
      <patternFill patternType="solid">
        <fgColor indexed="63"/>
        <bgColor indexed="64"/>
      </patternFill>
    </fill>
    <fill>
      <patternFill patternType="solid">
        <fgColor indexed="23"/>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style="thin"/>
    </border>
    <border>
      <left style="thin"/>
      <right style="thin"/>
      <top style="medium"/>
      <bottom style="medium"/>
    </border>
    <border>
      <left>
        <color indexed="63"/>
      </left>
      <right>
        <color indexed="63"/>
      </right>
      <top>
        <color indexed="63"/>
      </top>
      <bottom style="thin"/>
    </border>
    <border>
      <left style="thin"/>
      <right>
        <color indexed="63"/>
      </right>
      <top style="thin"/>
      <bottom style="medium"/>
    </border>
    <border>
      <left style="thin"/>
      <right style="thin"/>
      <top>
        <color indexed="63"/>
      </top>
      <bottom style="medium"/>
    </border>
    <border>
      <left style="thin"/>
      <right style="thin"/>
      <top style="thin"/>
      <bottom style="medium"/>
    </border>
    <border>
      <left>
        <color indexed="63"/>
      </left>
      <right>
        <color indexed="63"/>
      </right>
      <top style="thin"/>
      <bottom style="medium"/>
    </border>
    <border>
      <left>
        <color indexed="63"/>
      </left>
      <right style="thin"/>
      <top>
        <color indexed="63"/>
      </top>
      <bottom style="thin"/>
    </border>
    <border>
      <left style="thin"/>
      <right>
        <color indexed="63"/>
      </right>
      <top>
        <color indexed="63"/>
      </top>
      <bottom style="medium"/>
    </border>
    <border>
      <left style="thin"/>
      <right>
        <color indexed="63"/>
      </right>
      <top style="thin"/>
      <bottom>
        <color indexed="63"/>
      </bottom>
    </border>
    <border>
      <left style="thin"/>
      <right>
        <color indexed="63"/>
      </right>
      <top style="medium"/>
      <bottom style="medium"/>
    </border>
    <border>
      <left>
        <color indexed="63"/>
      </left>
      <right>
        <color indexed="63"/>
      </right>
      <top style="thin"/>
      <bottom>
        <color indexed="63"/>
      </bottom>
    </border>
    <border>
      <left>
        <color indexed="63"/>
      </left>
      <right style="thin"/>
      <top style="medium"/>
      <bottom>
        <color indexed="63"/>
      </bottom>
    </border>
    <border>
      <left style="medium"/>
      <right style="medium"/>
      <top style="medium"/>
      <bottom style="medium"/>
    </border>
    <border>
      <left style="medium"/>
      <right style="medium"/>
      <top>
        <color indexed="63"/>
      </top>
      <bottom style="medium"/>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color indexed="63"/>
      </left>
      <right style="thin"/>
      <top style="thin"/>
      <bottom style="medium"/>
    </border>
    <border>
      <left>
        <color indexed="63"/>
      </left>
      <right style="thin"/>
      <top style="thin"/>
      <bottom>
        <color indexed="63"/>
      </botto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style="medium"/>
    </border>
    <border>
      <left>
        <color indexed="63"/>
      </left>
      <right style="medium"/>
      <top>
        <color indexed="63"/>
      </top>
      <bottom>
        <color indexed="63"/>
      </bottom>
    </border>
    <border>
      <left>
        <color indexed="63"/>
      </left>
      <right style="medium"/>
      <top style="medium"/>
      <bottom>
        <color indexed="63"/>
      </botto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medium">
        <color indexed="9"/>
      </left>
      <right>
        <color indexed="63"/>
      </right>
      <top>
        <color indexed="63"/>
      </top>
      <bottom style="medium"/>
    </border>
    <border>
      <left>
        <color indexed="63"/>
      </left>
      <right style="medium">
        <color indexed="9"/>
      </right>
      <top>
        <color indexed="63"/>
      </top>
      <bottom style="medium"/>
    </border>
    <border>
      <left style="thin"/>
      <right style="thin"/>
      <top style="thin"/>
      <bottom>
        <color indexed="63"/>
      </bottom>
    </border>
    <border>
      <left>
        <color indexed="63"/>
      </left>
      <right style="thin"/>
      <top style="medium"/>
      <bottom style="thin"/>
    </border>
    <border>
      <left style="thin">
        <color rgb="FF000000"/>
      </left>
      <right style="thin">
        <color rgb="FF000000"/>
      </right>
      <top style="thin">
        <color rgb="FF000000"/>
      </top>
      <bottom style="thin">
        <color rgb="FF000000"/>
      </bottom>
    </border>
    <border>
      <left style="medium"/>
      <right>
        <color indexed="63"/>
      </right>
      <top style="thin"/>
      <bottom style="thin"/>
    </border>
    <border>
      <left style="medium"/>
      <right>
        <color indexed="63"/>
      </right>
      <top style="medium"/>
      <bottom style="medium"/>
    </border>
    <border>
      <left style="medium">
        <color indexed="9"/>
      </left>
      <right>
        <color indexed="63"/>
      </right>
      <top style="medium">
        <color indexed="9"/>
      </top>
      <bottom>
        <color indexed="63"/>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0" fillId="29" borderId="0" applyFont="0" applyBorder="0">
      <alignment/>
      <protection/>
    </xf>
    <xf numFmtId="0" fontId="73" fillId="0" borderId="0" applyNumberFormat="0" applyFill="0" applyBorder="0" applyAlignment="0" applyProtection="0"/>
    <xf numFmtId="0" fontId="20" fillId="0" borderId="0" applyNumberFormat="0" applyFill="0" applyBorder="0" applyAlignment="0" applyProtection="0"/>
    <xf numFmtId="0" fontId="74" fillId="30"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9" fillId="0" borderId="0" applyNumberFormat="0" applyFill="0" applyBorder="0" applyAlignment="0" applyProtection="0"/>
    <xf numFmtId="0" fontId="78" fillId="31" borderId="1" applyNumberFormat="0" applyAlignment="0" applyProtection="0"/>
    <xf numFmtId="0" fontId="79" fillId="0" borderId="6" applyNumberFormat="0" applyFill="0" applyAlignment="0" applyProtection="0"/>
    <xf numFmtId="0" fontId="80" fillId="32" borderId="0" applyNumberFormat="0" applyBorder="0" applyAlignment="0" applyProtection="0"/>
    <xf numFmtId="37" fontId="4" fillId="0" borderId="0">
      <alignment/>
      <protection/>
    </xf>
    <xf numFmtId="0" fontId="0" fillId="33"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313">
    <xf numFmtId="0" fontId="0" fillId="0" borderId="0" xfId="0" applyAlignment="1">
      <alignment/>
    </xf>
    <xf numFmtId="0" fontId="0" fillId="29" borderId="0" xfId="0" applyFill="1" applyAlignment="1" applyProtection="1">
      <alignment/>
      <protection hidden="1"/>
    </xf>
    <xf numFmtId="0" fontId="0" fillId="0" borderId="0" xfId="0" applyAlignment="1" applyProtection="1">
      <alignment/>
      <protection locked="0"/>
    </xf>
    <xf numFmtId="0" fontId="0" fillId="0" borderId="0" xfId="0" applyAlignment="1">
      <alignment horizontal="center"/>
    </xf>
    <xf numFmtId="0" fontId="0" fillId="0" borderId="10" xfId="0" applyBorder="1" applyAlignment="1">
      <alignment/>
    </xf>
    <xf numFmtId="2" fontId="0" fillId="29" borderId="0" xfId="0" applyNumberFormat="1" applyFill="1" applyAlignment="1" applyProtection="1">
      <alignment/>
      <protection hidden="1"/>
    </xf>
    <xf numFmtId="0" fontId="0" fillId="0" borderId="0" xfId="0" applyAlignment="1" applyProtection="1">
      <alignment/>
      <protection hidden="1"/>
    </xf>
    <xf numFmtId="0" fontId="9" fillId="34" borderId="11" xfId="0" applyFont="1" applyFill="1" applyBorder="1" applyAlignment="1" applyProtection="1">
      <alignment horizontal="right"/>
      <protection hidden="1"/>
    </xf>
    <xf numFmtId="0" fontId="10" fillId="34" borderId="0" xfId="0" applyFont="1" applyFill="1" applyBorder="1" applyAlignment="1" applyProtection="1">
      <alignment/>
      <protection hidden="1"/>
    </xf>
    <xf numFmtId="2" fontId="9" fillId="34" borderId="0" xfId="0" applyNumberFormat="1" applyFont="1" applyFill="1" applyBorder="1" applyAlignment="1" applyProtection="1">
      <alignment/>
      <protection hidden="1"/>
    </xf>
    <xf numFmtId="0" fontId="1" fillId="0" borderId="0" xfId="0" applyFont="1" applyAlignment="1" applyProtection="1">
      <alignment/>
      <protection hidden="1"/>
    </xf>
    <xf numFmtId="2" fontId="0" fillId="29" borderId="12" xfId="0" applyNumberFormat="1" applyFill="1" applyBorder="1" applyAlignment="1" applyProtection="1">
      <alignment/>
      <protection hidden="1"/>
    </xf>
    <xf numFmtId="0" fontId="0" fillId="29" borderId="13" xfId="0" applyFill="1" applyBorder="1" applyAlignment="1" applyProtection="1">
      <alignment horizontal="right"/>
      <protection hidden="1"/>
    </xf>
    <xf numFmtId="0" fontId="0" fillId="29" borderId="14" xfId="0" applyFill="1" applyBorder="1" applyAlignment="1" applyProtection="1">
      <alignment horizontal="right"/>
      <protection hidden="1"/>
    </xf>
    <xf numFmtId="0" fontId="14" fillId="0" borderId="0" xfId="0" applyFont="1" applyAlignment="1" applyProtection="1">
      <alignment/>
      <protection hidden="1"/>
    </xf>
    <xf numFmtId="0" fontId="6" fillId="35" borderId="10" xfId="0" applyFont="1" applyFill="1" applyBorder="1" applyAlignment="1" applyProtection="1" quotePrefix="1">
      <alignment horizontal="center"/>
      <protection hidden="1"/>
    </xf>
    <xf numFmtId="0" fontId="0" fillId="36" borderId="0" xfId="0" applyFill="1" applyAlignment="1" applyProtection="1">
      <alignment/>
      <protection hidden="1"/>
    </xf>
    <xf numFmtId="0" fontId="6" fillId="35" borderId="10" xfId="0" applyFont="1" applyFill="1" applyBorder="1" applyAlignment="1" applyProtection="1">
      <alignment/>
      <protection hidden="1"/>
    </xf>
    <xf numFmtId="0" fontId="6" fillId="35" borderId="10" xfId="0" applyFont="1" applyFill="1" applyBorder="1" applyAlignment="1" applyProtection="1">
      <alignment horizontal="center"/>
      <protection hidden="1"/>
    </xf>
    <xf numFmtId="2" fontId="1" fillId="0" borderId="0" xfId="0" applyNumberFormat="1" applyFont="1" applyBorder="1" applyAlignment="1" applyProtection="1" quotePrefix="1">
      <alignment horizontal="center"/>
      <protection hidden="1"/>
    </xf>
    <xf numFmtId="2" fontId="6" fillId="0" borderId="0" xfId="0" applyNumberFormat="1" applyFont="1" applyBorder="1" applyAlignment="1" applyProtection="1">
      <alignment/>
      <protection hidden="1"/>
    </xf>
    <xf numFmtId="0" fontId="6" fillId="0" borderId="0" xfId="0" applyFont="1" applyAlignment="1" applyProtection="1">
      <alignment/>
      <protection hidden="1"/>
    </xf>
    <xf numFmtId="0" fontId="6" fillId="35" borderId="15" xfId="0" applyFont="1" applyFill="1" applyBorder="1" applyAlignment="1" applyProtection="1">
      <alignment/>
      <protection hidden="1"/>
    </xf>
    <xf numFmtId="0" fontId="12" fillId="35" borderId="16" xfId="0" applyFont="1" applyFill="1" applyBorder="1" applyAlignment="1" applyProtection="1">
      <alignment horizontal="center" wrapText="1"/>
      <protection hidden="1"/>
    </xf>
    <xf numFmtId="0" fontId="12" fillId="35" borderId="17" xfId="0" applyFont="1" applyFill="1" applyBorder="1" applyAlignment="1" applyProtection="1">
      <alignment horizontal="center" wrapText="1"/>
      <protection hidden="1"/>
    </xf>
    <xf numFmtId="0" fontId="12" fillId="35" borderId="10" xfId="0" applyFont="1" applyFill="1" applyBorder="1" applyAlignment="1" applyProtection="1">
      <alignment horizontal="center" wrapText="1"/>
      <protection hidden="1"/>
    </xf>
    <xf numFmtId="0" fontId="15" fillId="35" borderId="0" xfId="0" applyFont="1" applyFill="1" applyAlignment="1">
      <alignment horizontal="center" vertical="top"/>
    </xf>
    <xf numFmtId="0" fontId="3" fillId="0" borderId="0" xfId="0" applyFont="1" applyAlignment="1" applyProtection="1">
      <alignment/>
      <protection hidden="1"/>
    </xf>
    <xf numFmtId="0" fontId="0" fillId="29" borderId="0" xfId="0" applyFill="1" applyBorder="1" applyAlignment="1" applyProtection="1">
      <alignment/>
      <protection hidden="1"/>
    </xf>
    <xf numFmtId="1" fontId="0" fillId="29" borderId="0" xfId="0" applyNumberFormat="1" applyFill="1" applyAlignment="1" applyProtection="1">
      <alignment/>
      <protection hidden="1"/>
    </xf>
    <xf numFmtId="0" fontId="0" fillId="0" borderId="0" xfId="0" applyFont="1" applyAlignment="1" applyProtection="1">
      <alignment/>
      <protection hidden="1"/>
    </xf>
    <xf numFmtId="9" fontId="0" fillId="0" borderId="0" xfId="0" applyNumberFormat="1" applyAlignment="1" applyProtection="1">
      <alignment/>
      <protection hidden="1"/>
    </xf>
    <xf numFmtId="49" fontId="6" fillId="35" borderId="10" xfId="0" applyNumberFormat="1" applyFont="1" applyFill="1" applyBorder="1" applyAlignment="1" applyProtection="1">
      <alignment/>
      <protection hidden="1"/>
    </xf>
    <xf numFmtId="49" fontId="12" fillId="35" borderId="10" xfId="0" applyNumberFormat="1" applyFont="1" applyFill="1" applyBorder="1" applyAlignment="1" applyProtection="1">
      <alignment horizontal="center" wrapText="1"/>
      <protection hidden="1"/>
    </xf>
    <xf numFmtId="49" fontId="12" fillId="35" borderId="18" xfId="0" applyNumberFormat="1" applyFont="1" applyFill="1" applyBorder="1" applyAlignment="1" applyProtection="1">
      <alignment horizontal="center" wrapText="1"/>
      <protection hidden="1"/>
    </xf>
    <xf numFmtId="2" fontId="5" fillId="0" borderId="0" xfId="0" applyNumberFormat="1" applyFont="1" applyAlignment="1" applyProtection="1">
      <alignment/>
      <protection hidden="1"/>
    </xf>
    <xf numFmtId="2" fontId="0" fillId="0" borderId="0" xfId="0" applyNumberFormat="1" applyFont="1" applyAlignment="1" applyProtection="1">
      <alignment/>
      <protection hidden="1"/>
    </xf>
    <xf numFmtId="0" fontId="0" fillId="0" borderId="0" xfId="0" applyAlignment="1" applyProtection="1">
      <alignment horizontal="right"/>
      <protection hidden="1"/>
    </xf>
    <xf numFmtId="49" fontId="7" fillId="35" borderId="10" xfId="0" applyNumberFormat="1" applyFont="1" applyFill="1" applyBorder="1" applyAlignment="1" applyProtection="1">
      <alignment horizontal="center" wrapText="1"/>
      <protection hidden="1"/>
    </xf>
    <xf numFmtId="0" fontId="6" fillId="35" borderId="19" xfId="0" applyFont="1" applyFill="1" applyBorder="1" applyAlignment="1" applyProtection="1">
      <alignment horizontal="center"/>
      <protection hidden="1"/>
    </xf>
    <xf numFmtId="0" fontId="6" fillId="35" borderId="20" xfId="0" applyFont="1" applyFill="1" applyBorder="1" applyAlignment="1" applyProtection="1">
      <alignment horizontal="center"/>
      <protection hidden="1"/>
    </xf>
    <xf numFmtId="2" fontId="9" fillId="34" borderId="16" xfId="0" applyNumberFormat="1" applyFont="1" applyFill="1" applyBorder="1" applyAlignment="1" applyProtection="1">
      <alignment/>
      <protection hidden="1"/>
    </xf>
    <xf numFmtId="2" fontId="0" fillId="0" borderId="0" xfId="0" applyNumberFormat="1" applyFont="1" applyAlignment="1" applyProtection="1">
      <alignment/>
      <protection hidden="1"/>
    </xf>
    <xf numFmtId="49" fontId="12" fillId="35" borderId="0" xfId="0" applyNumberFormat="1" applyFont="1" applyFill="1" applyBorder="1" applyAlignment="1" applyProtection="1">
      <alignment horizontal="center" wrapText="1"/>
      <protection hidden="1"/>
    </xf>
    <xf numFmtId="2" fontId="0" fillId="29" borderId="21" xfId="0" applyNumberFormat="1" applyFill="1" applyBorder="1" applyAlignment="1" applyProtection="1">
      <alignment shrinkToFit="1"/>
      <protection hidden="1"/>
    </xf>
    <xf numFmtId="2" fontId="8" fillId="29" borderId="22" xfId="0" applyNumberFormat="1" applyFont="1" applyFill="1" applyBorder="1" applyAlignment="1" applyProtection="1">
      <alignment shrinkToFit="1"/>
      <protection hidden="1"/>
    </xf>
    <xf numFmtId="2" fontId="2" fillId="29" borderId="23" xfId="0" applyNumberFormat="1" applyFont="1" applyFill="1" applyBorder="1" applyAlignment="1" applyProtection="1">
      <alignment shrinkToFit="1"/>
      <protection hidden="1"/>
    </xf>
    <xf numFmtId="2" fontId="22" fillId="29" borderId="0" xfId="0" applyNumberFormat="1" applyFont="1" applyFill="1" applyBorder="1" applyAlignment="1" applyProtection="1">
      <alignment shrinkToFit="1"/>
      <protection hidden="1"/>
    </xf>
    <xf numFmtId="2" fontId="22" fillId="29" borderId="24" xfId="0" applyNumberFormat="1" applyFont="1" applyFill="1" applyBorder="1" applyAlignment="1" applyProtection="1">
      <alignment shrinkToFit="1"/>
      <protection hidden="1"/>
    </xf>
    <xf numFmtId="0" fontId="0" fillId="29" borderId="0" xfId="0" applyFill="1" applyBorder="1" applyAlignment="1" applyProtection="1">
      <alignment horizontal="right"/>
      <protection hidden="1"/>
    </xf>
    <xf numFmtId="2" fontId="1" fillId="29" borderId="0" xfId="0" applyNumberFormat="1" applyFont="1" applyFill="1" applyBorder="1" applyAlignment="1" applyProtection="1">
      <alignment shrinkToFit="1"/>
      <protection hidden="1"/>
    </xf>
    <xf numFmtId="2" fontId="2" fillId="29" borderId="0" xfId="0" applyNumberFormat="1" applyFont="1" applyFill="1" applyBorder="1" applyAlignment="1" applyProtection="1">
      <alignment shrinkToFit="1"/>
      <protection hidden="1"/>
    </xf>
    <xf numFmtId="0" fontId="6" fillId="35" borderId="0" xfId="0" applyFont="1" applyFill="1" applyAlignment="1" applyProtection="1">
      <alignment/>
      <protection hidden="1"/>
    </xf>
    <xf numFmtId="2" fontId="6" fillId="35" borderId="0" xfId="0" applyNumberFormat="1" applyFont="1" applyFill="1" applyAlignment="1" applyProtection="1">
      <alignment horizontal="center"/>
      <protection hidden="1"/>
    </xf>
    <xf numFmtId="49" fontId="6" fillId="35" borderId="0" xfId="0" applyNumberFormat="1" applyFont="1" applyFill="1" applyAlignment="1" applyProtection="1">
      <alignment horizontal="center"/>
      <protection hidden="1"/>
    </xf>
    <xf numFmtId="0" fontId="0" fillId="29" borderId="13" xfId="0" applyFill="1" applyBorder="1" applyAlignment="1" applyProtection="1">
      <alignment/>
      <protection hidden="1" locked="0"/>
    </xf>
    <xf numFmtId="9" fontId="0" fillId="0" borderId="0" xfId="0" applyNumberFormat="1" applyAlignment="1" applyProtection="1">
      <alignment/>
      <protection locked="0"/>
    </xf>
    <xf numFmtId="0" fontId="0" fillId="0" borderId="0" xfId="0" applyFont="1" applyFill="1" applyAlignment="1" applyProtection="1">
      <alignment/>
      <protection locked="0"/>
    </xf>
    <xf numFmtId="2" fontId="0" fillId="0" borderId="0" xfId="0" applyNumberFormat="1" applyFont="1" applyAlignment="1" applyProtection="1">
      <alignment/>
      <protection locked="0"/>
    </xf>
    <xf numFmtId="0" fontId="0" fillId="0" borderId="0" xfId="0" applyFont="1" applyAlignment="1" applyProtection="1">
      <alignment/>
      <protection locked="0"/>
    </xf>
    <xf numFmtId="0" fontId="26" fillId="29" borderId="25" xfId="0" applyFont="1" applyFill="1" applyBorder="1" applyAlignment="1" applyProtection="1">
      <alignment horizontal="right"/>
      <protection hidden="1"/>
    </xf>
    <xf numFmtId="2" fontId="27" fillId="29" borderId="26" xfId="0" applyNumberFormat="1" applyFont="1" applyFill="1" applyBorder="1" applyAlignment="1" applyProtection="1">
      <alignment shrinkToFit="1"/>
      <protection hidden="1"/>
    </xf>
    <xf numFmtId="2" fontId="27" fillId="29" borderId="27" xfId="0" applyNumberFormat="1" applyFont="1" applyFill="1" applyBorder="1" applyAlignment="1" applyProtection="1">
      <alignment shrinkToFit="1"/>
      <protection hidden="1"/>
    </xf>
    <xf numFmtId="0" fontId="26" fillId="0" borderId="0" xfId="0" applyFont="1" applyAlignment="1" applyProtection="1">
      <alignment/>
      <protection locked="0"/>
    </xf>
    <xf numFmtId="0" fontId="26" fillId="0" borderId="0" xfId="0" applyFont="1" applyAlignment="1" applyProtection="1">
      <alignment/>
      <protection hidden="1"/>
    </xf>
    <xf numFmtId="0" fontId="28" fillId="37" borderId="0" xfId="0" applyFont="1" applyFill="1" applyBorder="1" applyAlignment="1" applyProtection="1">
      <alignment horizontal="center" vertical="top" shrinkToFit="1"/>
      <protection hidden="1"/>
    </xf>
    <xf numFmtId="2" fontId="28" fillId="37" borderId="24" xfId="0" applyNumberFormat="1" applyFont="1" applyFill="1" applyBorder="1" applyAlignment="1" applyProtection="1">
      <alignment horizontal="left" vertical="top"/>
      <protection hidden="1"/>
    </xf>
    <xf numFmtId="0" fontId="28" fillId="37" borderId="24" xfId="0" applyFont="1" applyFill="1" applyBorder="1" applyAlignment="1" applyProtection="1">
      <alignment horizontal="center" vertical="top" shrinkToFit="1"/>
      <protection hidden="1"/>
    </xf>
    <xf numFmtId="0" fontId="1" fillId="0" borderId="0" xfId="0" applyFont="1" applyBorder="1" applyAlignment="1" applyProtection="1">
      <alignment horizontal="center"/>
      <protection hidden="1"/>
    </xf>
    <xf numFmtId="0" fontId="6" fillId="35" borderId="28" xfId="0" applyFont="1" applyFill="1" applyBorder="1" applyAlignment="1" applyProtection="1">
      <alignment horizontal="center"/>
      <protection hidden="1"/>
    </xf>
    <xf numFmtId="9" fontId="1" fillId="0" borderId="0" xfId="0" applyNumberFormat="1" applyFont="1" applyBorder="1" applyAlignment="1" applyProtection="1">
      <alignment/>
      <protection hidden="1"/>
    </xf>
    <xf numFmtId="0" fontId="0" fillId="0" borderId="0" xfId="0" applyAlignment="1" applyProtection="1" quotePrefix="1">
      <alignment/>
      <protection hidden="1"/>
    </xf>
    <xf numFmtId="0" fontId="13" fillId="0" borderId="0" xfId="0" applyFont="1" applyAlignment="1" applyProtection="1">
      <alignment/>
      <protection hidden="1"/>
    </xf>
    <xf numFmtId="2" fontId="1" fillId="0" borderId="0" xfId="0" applyNumberFormat="1" applyFont="1" applyAlignment="1" applyProtection="1">
      <alignment/>
      <protection hidden="1"/>
    </xf>
    <xf numFmtId="2" fontId="0" fillId="0" borderId="0" xfId="0" applyNumberFormat="1" applyAlignment="1" applyProtection="1">
      <alignment/>
      <protection hidden="1"/>
    </xf>
    <xf numFmtId="2" fontId="0" fillId="0" borderId="0" xfId="0" applyNumberFormat="1" applyAlignment="1" applyProtection="1" quotePrefix="1">
      <alignment/>
      <protection hidden="1"/>
    </xf>
    <xf numFmtId="2" fontId="0" fillId="0" borderId="0" xfId="0" applyNumberFormat="1" applyFont="1" applyAlignment="1" applyProtection="1">
      <alignment/>
      <protection hidden="1"/>
    </xf>
    <xf numFmtId="2" fontId="1" fillId="0" borderId="0" xfId="0" applyNumberFormat="1" applyFont="1" applyBorder="1" applyAlignment="1" applyProtection="1">
      <alignment/>
      <protection hidden="1"/>
    </xf>
    <xf numFmtId="0" fontId="1" fillId="0" borderId="0" xfId="0" applyFont="1" applyAlignment="1" applyProtection="1">
      <alignment/>
      <protection hidden="1"/>
    </xf>
    <xf numFmtId="0" fontId="0" fillId="29" borderId="0" xfId="0" applyFill="1" applyAlignment="1" applyProtection="1">
      <alignment horizontal="center"/>
      <protection hidden="1"/>
    </xf>
    <xf numFmtId="0" fontId="0" fillId="0" borderId="0" xfId="0" applyAlignment="1" applyProtection="1">
      <alignment horizontal="center"/>
      <protection hidden="1"/>
    </xf>
    <xf numFmtId="0" fontId="6" fillId="35" borderId="10" xfId="0" applyFont="1" applyFill="1" applyBorder="1" applyAlignment="1" applyProtection="1">
      <alignment horizontal="left"/>
      <protection hidden="1"/>
    </xf>
    <xf numFmtId="0" fontId="0" fillId="29" borderId="0" xfId="0" applyFill="1" applyAlignment="1" applyProtection="1">
      <alignment horizontal="left"/>
      <protection hidden="1"/>
    </xf>
    <xf numFmtId="0" fontId="29" fillId="0" borderId="0" xfId="0" applyFont="1" applyAlignment="1" applyProtection="1">
      <alignment/>
      <protection hidden="1"/>
    </xf>
    <xf numFmtId="0" fontId="30" fillId="0" borderId="0" xfId="0" applyFont="1" applyAlignment="1" applyProtection="1">
      <alignment/>
      <protection hidden="1"/>
    </xf>
    <xf numFmtId="0" fontId="0" fillId="0" borderId="0" xfId="0" applyFont="1" applyFill="1" applyAlignment="1" applyProtection="1">
      <alignment/>
      <protection hidden="1"/>
    </xf>
    <xf numFmtId="0" fontId="0" fillId="0" borderId="0" xfId="0" applyFill="1" applyAlignment="1" applyProtection="1">
      <alignment/>
      <protection hidden="1"/>
    </xf>
    <xf numFmtId="0" fontId="15" fillId="35" borderId="15" xfId="0" applyFont="1" applyFill="1" applyBorder="1" applyAlignment="1" applyProtection="1">
      <alignment horizontal="left" vertical="top"/>
      <protection hidden="1"/>
    </xf>
    <xf numFmtId="0" fontId="28" fillId="37" borderId="0" xfId="0" applyFont="1" applyFill="1" applyBorder="1" applyAlignment="1" applyProtection="1">
      <alignment/>
      <protection hidden="1"/>
    </xf>
    <xf numFmtId="0" fontId="28" fillId="37" borderId="12" xfId="0" applyFont="1" applyFill="1" applyBorder="1" applyAlignment="1" applyProtection="1">
      <alignment horizontal="center" vertical="top" shrinkToFit="1"/>
      <protection hidden="1"/>
    </xf>
    <xf numFmtId="0" fontId="28" fillId="37" borderId="29" xfId="0" applyFont="1" applyFill="1" applyBorder="1" applyAlignment="1" applyProtection="1">
      <alignment horizontal="center" vertical="top" shrinkToFit="1"/>
      <protection hidden="1"/>
    </xf>
    <xf numFmtId="0" fontId="7" fillId="35" borderId="13" xfId="0" applyFont="1" applyFill="1" applyBorder="1" applyAlignment="1" applyProtection="1">
      <alignment horizontal="center" shrinkToFit="1"/>
      <protection hidden="1"/>
    </xf>
    <xf numFmtId="49" fontId="12" fillId="35" borderId="12" xfId="0" applyNumberFormat="1" applyFont="1" applyFill="1" applyBorder="1" applyAlignment="1" applyProtection="1">
      <alignment horizontal="center" wrapText="1"/>
      <protection hidden="1"/>
    </xf>
    <xf numFmtId="0" fontId="0" fillId="0" borderId="0" xfId="0" applyBorder="1" applyAlignment="1" applyProtection="1">
      <alignment/>
      <protection hidden="1"/>
    </xf>
    <xf numFmtId="0" fontId="15" fillId="35" borderId="25" xfId="0" applyFont="1" applyFill="1" applyBorder="1" applyAlignment="1" applyProtection="1">
      <alignment horizontal="left" vertical="top"/>
      <protection hidden="1"/>
    </xf>
    <xf numFmtId="2" fontId="6" fillId="35" borderId="17" xfId="0" applyNumberFormat="1" applyFont="1" applyFill="1" applyBorder="1" applyAlignment="1" applyProtection="1">
      <alignment/>
      <protection hidden="1"/>
    </xf>
    <xf numFmtId="49" fontId="7" fillId="35" borderId="30" xfId="0" applyNumberFormat="1" applyFont="1" applyFill="1" applyBorder="1" applyAlignment="1" applyProtection="1">
      <alignment horizontal="center" wrapText="1"/>
      <protection hidden="1"/>
    </xf>
    <xf numFmtId="2" fontId="0" fillId="29" borderId="0" xfId="0" applyNumberFormat="1" applyFill="1" applyBorder="1" applyAlignment="1" applyProtection="1">
      <alignment/>
      <protection hidden="1"/>
    </xf>
    <xf numFmtId="2" fontId="0" fillId="29" borderId="0" xfId="0" applyNumberFormat="1" applyFill="1" applyBorder="1" applyAlignment="1" applyProtection="1">
      <alignment horizontal="right"/>
      <protection hidden="1"/>
    </xf>
    <xf numFmtId="2" fontId="0" fillId="29" borderId="0" xfId="0" applyNumberFormat="1" applyFill="1" applyBorder="1" applyAlignment="1" applyProtection="1">
      <alignment/>
      <protection hidden="1" locked="0"/>
    </xf>
    <xf numFmtId="0" fontId="0" fillId="0" borderId="0" xfId="0" applyBorder="1" applyAlignment="1" applyProtection="1">
      <alignment horizontal="center"/>
      <protection locked="0"/>
    </xf>
    <xf numFmtId="0" fontId="9" fillId="34" borderId="13" xfId="0" applyFont="1" applyFill="1" applyBorder="1" applyAlignment="1" applyProtection="1">
      <alignment horizontal="right"/>
      <protection hidden="1"/>
    </xf>
    <xf numFmtId="0" fontId="9" fillId="34" borderId="0" xfId="0" applyFont="1" applyFill="1" applyBorder="1" applyAlignment="1" applyProtection="1">
      <alignment horizontal="right"/>
      <protection hidden="1"/>
    </xf>
    <xf numFmtId="2" fontId="1" fillId="29" borderId="12" xfId="0" applyNumberFormat="1" applyFont="1" applyFill="1" applyBorder="1" applyAlignment="1" applyProtection="1">
      <alignment shrinkToFit="1"/>
      <protection hidden="1"/>
    </xf>
    <xf numFmtId="2" fontId="2" fillId="29" borderId="12" xfId="0" applyNumberFormat="1" applyFont="1" applyFill="1" applyBorder="1" applyAlignment="1" applyProtection="1">
      <alignment shrinkToFit="1"/>
      <protection hidden="1"/>
    </xf>
    <xf numFmtId="0" fontId="24" fillId="29" borderId="14" xfId="0" applyFont="1" applyFill="1" applyBorder="1" applyAlignment="1" applyProtection="1">
      <alignment horizontal="right"/>
      <protection hidden="1"/>
    </xf>
    <xf numFmtId="0" fontId="11" fillId="29" borderId="24" xfId="0" applyFont="1" applyFill="1" applyBorder="1" applyAlignment="1" applyProtection="1">
      <alignment horizontal="right"/>
      <protection hidden="1"/>
    </xf>
    <xf numFmtId="0" fontId="23" fillId="29" borderId="24" xfId="0" applyFont="1" applyFill="1" applyBorder="1" applyAlignment="1" applyProtection="1">
      <alignment horizontal="right"/>
      <protection hidden="1"/>
    </xf>
    <xf numFmtId="176" fontId="23" fillId="29" borderId="24" xfId="0" applyNumberFormat="1" applyFont="1" applyFill="1" applyBorder="1" applyAlignment="1" applyProtection="1">
      <alignment/>
      <protection hidden="1"/>
    </xf>
    <xf numFmtId="0" fontId="15" fillId="35" borderId="31" xfId="0" applyFont="1" applyFill="1" applyBorder="1" applyAlignment="1" applyProtection="1">
      <alignment horizontal="left" vertical="top" wrapText="1"/>
      <protection hidden="1"/>
    </xf>
    <xf numFmtId="0" fontId="6" fillId="35" borderId="32" xfId="0" applyFont="1" applyFill="1" applyBorder="1" applyAlignment="1" applyProtection="1">
      <alignment horizontal="center"/>
      <protection hidden="1"/>
    </xf>
    <xf numFmtId="0" fontId="0" fillId="29" borderId="0" xfId="0" applyFill="1" applyBorder="1" applyAlignment="1" applyProtection="1">
      <alignment/>
      <protection hidden="1" locked="0"/>
    </xf>
    <xf numFmtId="2" fontId="9" fillId="34" borderId="17" xfId="0" applyNumberFormat="1" applyFont="1" applyFill="1" applyBorder="1" applyAlignment="1" applyProtection="1">
      <alignment/>
      <protection hidden="1"/>
    </xf>
    <xf numFmtId="2" fontId="9" fillId="34" borderId="12" xfId="0" applyNumberFormat="1" applyFont="1" applyFill="1" applyBorder="1" applyAlignment="1" applyProtection="1">
      <alignment/>
      <protection hidden="1"/>
    </xf>
    <xf numFmtId="0" fontId="11" fillId="29" borderId="14" xfId="0" applyFont="1" applyFill="1" applyBorder="1" applyAlignment="1" applyProtection="1">
      <alignment horizontal="right"/>
      <protection hidden="1"/>
    </xf>
    <xf numFmtId="176" fontId="8" fillId="29" borderId="24" xfId="0" applyNumberFormat="1" applyFont="1" applyFill="1" applyBorder="1" applyAlignment="1" applyProtection="1">
      <alignment/>
      <protection hidden="1"/>
    </xf>
    <xf numFmtId="0" fontId="0" fillId="29" borderId="0" xfId="0" applyFont="1" applyFill="1" applyAlignment="1" applyProtection="1">
      <alignment/>
      <protection hidden="1"/>
    </xf>
    <xf numFmtId="0" fontId="0" fillId="0" borderId="24" xfId="0" applyBorder="1" applyAlignment="1">
      <alignment/>
    </xf>
    <xf numFmtId="0" fontId="0" fillId="0" borderId="24" xfId="0" applyBorder="1" applyAlignment="1">
      <alignment horizontal="center"/>
    </xf>
    <xf numFmtId="14" fontId="0" fillId="0" borderId="0" xfId="0" applyNumberFormat="1" applyAlignment="1">
      <alignment horizontal="center"/>
    </xf>
    <xf numFmtId="176" fontId="0" fillId="0" borderId="0" xfId="0" applyNumberFormat="1" applyAlignment="1">
      <alignment horizontal="center"/>
    </xf>
    <xf numFmtId="0" fontId="5" fillId="0" borderId="0" xfId="0" applyFont="1" applyAlignment="1" applyProtection="1">
      <alignment horizontal="left"/>
      <protection hidden="1"/>
    </xf>
    <xf numFmtId="0" fontId="32" fillId="0" borderId="0" xfId="0" applyFont="1" applyAlignment="1" applyProtection="1">
      <alignment/>
      <protection hidden="1"/>
    </xf>
    <xf numFmtId="0" fontId="15" fillId="35" borderId="33" xfId="0" applyFont="1" applyFill="1" applyBorder="1" applyAlignment="1" applyProtection="1">
      <alignment horizontal="center" vertical="top"/>
      <protection hidden="1"/>
    </xf>
    <xf numFmtId="2" fontId="0" fillId="29" borderId="34" xfId="0" applyNumberFormat="1" applyFill="1" applyBorder="1" applyAlignment="1" applyProtection="1">
      <alignment/>
      <protection hidden="1"/>
    </xf>
    <xf numFmtId="2" fontId="0" fillId="29" borderId="12" xfId="0" applyNumberFormat="1" applyFill="1" applyBorder="1" applyAlignment="1" applyProtection="1">
      <alignment horizontal="right"/>
      <protection hidden="1"/>
    </xf>
    <xf numFmtId="0" fontId="0" fillId="0" borderId="0" xfId="0" applyAlignment="1">
      <alignment horizontal="left" wrapText="1"/>
    </xf>
    <xf numFmtId="0" fontId="16" fillId="0" borderId="0" xfId="0" applyFont="1" applyFill="1" applyBorder="1" applyAlignment="1" applyProtection="1">
      <alignment/>
      <protection hidden="1"/>
    </xf>
    <xf numFmtId="0" fontId="0" fillId="0" borderId="21" xfId="0" applyBorder="1" applyAlignment="1" applyProtection="1">
      <alignment/>
      <protection hidden="1"/>
    </xf>
    <xf numFmtId="0" fontId="26" fillId="29" borderId="0" xfId="0" applyFont="1" applyFill="1" applyBorder="1" applyAlignment="1" applyProtection="1">
      <alignment horizontal="right"/>
      <protection hidden="1"/>
    </xf>
    <xf numFmtId="0" fontId="26" fillId="29" borderId="24" xfId="0" applyFont="1" applyFill="1" applyBorder="1" applyAlignment="1" applyProtection="1">
      <alignment horizontal="right"/>
      <protection hidden="1"/>
    </xf>
    <xf numFmtId="176" fontId="8" fillId="29" borderId="21" xfId="0" applyNumberFormat="1" applyFont="1" applyFill="1" applyBorder="1" applyAlignment="1" applyProtection="1">
      <alignment/>
      <protection hidden="1"/>
    </xf>
    <xf numFmtId="0" fontId="0" fillId="0" borderId="0" xfId="0" applyAlignment="1">
      <alignment wrapText="1"/>
    </xf>
    <xf numFmtId="0" fontId="0" fillId="0" borderId="24" xfId="0" applyBorder="1" applyAlignment="1">
      <alignment wrapText="1"/>
    </xf>
    <xf numFmtId="0" fontId="34" fillId="0" borderId="0" xfId="0" applyFont="1" applyAlignment="1" applyProtection="1">
      <alignment/>
      <protection hidden="1"/>
    </xf>
    <xf numFmtId="0" fontId="35" fillId="0" borderId="0" xfId="0" applyFont="1" applyAlignment="1" applyProtection="1">
      <alignment/>
      <protection hidden="1"/>
    </xf>
    <xf numFmtId="0" fontId="36" fillId="29" borderId="0" xfId="0" applyFont="1" applyFill="1" applyAlignment="1" applyProtection="1">
      <alignment horizontal="center"/>
      <protection hidden="1"/>
    </xf>
    <xf numFmtId="0" fontId="0" fillId="29" borderId="13" xfId="0" applyFont="1" applyFill="1" applyBorder="1" applyAlignment="1" applyProtection="1">
      <alignment horizontal="right"/>
      <protection hidden="1"/>
    </xf>
    <xf numFmtId="2" fontId="0" fillId="29" borderId="12" xfId="0" applyNumberFormat="1" applyFont="1" applyFill="1" applyBorder="1" applyAlignment="1" applyProtection="1">
      <alignment/>
      <protection hidden="1"/>
    </xf>
    <xf numFmtId="0" fontId="1" fillId="29" borderId="0" xfId="0" applyNumberFormat="1" applyFont="1" applyFill="1" applyBorder="1" applyAlignment="1" applyProtection="1">
      <alignment/>
      <protection hidden="1" locked="0"/>
    </xf>
    <xf numFmtId="0" fontId="10" fillId="34" borderId="16" xfId="0" applyFont="1" applyFill="1" applyBorder="1" applyAlignment="1" applyProtection="1">
      <alignment/>
      <protection hidden="1"/>
    </xf>
    <xf numFmtId="0" fontId="0" fillId="0" borderId="21" xfId="0" applyBorder="1" applyAlignment="1" applyProtection="1">
      <alignment/>
      <protection locked="0"/>
    </xf>
    <xf numFmtId="2" fontId="0" fillId="0" borderId="21" xfId="0" applyNumberFormat="1" applyBorder="1" applyAlignment="1" applyProtection="1">
      <alignment/>
      <protection locked="0"/>
    </xf>
    <xf numFmtId="0" fontId="0" fillId="0" borderId="21" xfId="0" applyBorder="1" applyAlignment="1" applyProtection="1">
      <alignment horizontal="center"/>
      <protection locked="0"/>
    </xf>
    <xf numFmtId="0" fontId="0" fillId="0" borderId="21" xfId="0" applyFont="1" applyBorder="1" applyAlignment="1" applyProtection="1">
      <alignment/>
      <protection locked="0"/>
    </xf>
    <xf numFmtId="184" fontId="0" fillId="0" borderId="15" xfId="0" applyNumberFormat="1" applyBorder="1" applyAlignment="1" applyProtection="1">
      <alignment horizontal="center"/>
      <protection locked="0"/>
    </xf>
    <xf numFmtId="0" fontId="0" fillId="0" borderId="17" xfId="0" applyBorder="1" applyAlignment="1" applyProtection="1">
      <alignment/>
      <protection locked="0"/>
    </xf>
    <xf numFmtId="0" fontId="6" fillId="35" borderId="35" xfId="0" applyFont="1" applyFill="1" applyBorder="1" applyAlignment="1" applyProtection="1">
      <alignment/>
      <protection hidden="1"/>
    </xf>
    <xf numFmtId="0" fontId="6" fillId="35" borderId="36" xfId="0" applyFont="1" applyFill="1" applyBorder="1" applyAlignment="1" applyProtection="1">
      <alignment/>
      <protection hidden="1"/>
    </xf>
    <xf numFmtId="0" fontId="0" fillId="29" borderId="37" xfId="0" applyFont="1" applyFill="1" applyBorder="1" applyAlignment="1" applyProtection="1">
      <alignment/>
      <protection hidden="1"/>
    </xf>
    <xf numFmtId="0" fontId="0" fillId="0" borderId="38" xfId="0" applyFont="1" applyBorder="1" applyAlignment="1" applyProtection="1">
      <alignment/>
      <protection locked="0"/>
    </xf>
    <xf numFmtId="0" fontId="0" fillId="0" borderId="39" xfId="0" applyFont="1" applyBorder="1" applyAlignment="1" applyProtection="1">
      <alignment/>
      <protection locked="0"/>
    </xf>
    <xf numFmtId="0" fontId="0" fillId="0" borderId="40" xfId="0" applyBorder="1" applyAlignment="1" applyProtection="1">
      <alignment/>
      <protection locked="0"/>
    </xf>
    <xf numFmtId="0" fontId="0" fillId="0" borderId="27" xfId="0" applyBorder="1" applyAlignment="1" applyProtection="1">
      <alignment/>
      <protection locked="0"/>
    </xf>
    <xf numFmtId="0" fontId="0" fillId="0" borderId="21" xfId="0" applyFont="1" applyFill="1" applyBorder="1" applyAlignment="1" applyProtection="1">
      <alignment/>
      <protection locked="0"/>
    </xf>
    <xf numFmtId="2" fontId="0" fillId="0" borderId="21" xfId="0" applyNumberFormat="1" applyFill="1" applyBorder="1" applyAlignment="1" applyProtection="1">
      <alignment/>
      <protection locked="0"/>
    </xf>
    <xf numFmtId="9" fontId="0" fillId="0" borderId="21" xfId="0" applyNumberFormat="1" applyFill="1" applyBorder="1" applyAlignment="1" applyProtection="1">
      <alignment/>
      <protection locked="0"/>
    </xf>
    <xf numFmtId="0" fontId="26" fillId="29" borderId="33" xfId="0" applyFont="1" applyFill="1" applyBorder="1" applyAlignment="1" applyProtection="1">
      <alignment horizontal="right"/>
      <protection hidden="1"/>
    </xf>
    <xf numFmtId="0" fontId="37" fillId="29" borderId="41" xfId="0" applyFont="1" applyFill="1" applyBorder="1" applyAlignment="1" applyProtection="1">
      <alignment horizontal="right"/>
      <protection hidden="1"/>
    </xf>
    <xf numFmtId="0" fontId="37" fillId="29" borderId="12" xfId="0" applyFont="1" applyFill="1" applyBorder="1" applyAlignment="1" applyProtection="1">
      <alignment horizontal="right"/>
      <protection hidden="1"/>
    </xf>
    <xf numFmtId="0" fontId="37" fillId="29" borderId="29" xfId="0" applyFont="1" applyFill="1" applyBorder="1" applyAlignment="1" applyProtection="1">
      <alignment horizontal="right"/>
      <protection hidden="1"/>
    </xf>
    <xf numFmtId="0" fontId="18" fillId="0" borderId="15" xfId="0" applyFont="1" applyBorder="1" applyAlignment="1" applyProtection="1">
      <alignment horizontal="right"/>
      <protection hidden="1"/>
    </xf>
    <xf numFmtId="0" fontId="37" fillId="29" borderId="32" xfId="0" applyFont="1" applyFill="1" applyBorder="1" applyAlignment="1" applyProtection="1">
      <alignment horizontal="right"/>
      <protection hidden="1"/>
    </xf>
    <xf numFmtId="1" fontId="0" fillId="29" borderId="22" xfId="0" applyNumberFormat="1" applyFill="1" applyBorder="1" applyAlignment="1" applyProtection="1">
      <alignment/>
      <protection hidden="1"/>
    </xf>
    <xf numFmtId="0" fontId="6" fillId="35" borderId="30" xfId="0" applyFont="1" applyFill="1" applyBorder="1" applyAlignment="1" applyProtection="1">
      <alignment/>
      <protection hidden="1"/>
    </xf>
    <xf numFmtId="0" fontId="0" fillId="29" borderId="13" xfId="0" applyFont="1" applyFill="1" applyBorder="1" applyAlignment="1" applyProtection="1">
      <alignment/>
      <protection hidden="1"/>
    </xf>
    <xf numFmtId="183" fontId="29" fillId="29" borderId="12" xfId="0" applyNumberFormat="1" applyFont="1" applyFill="1" applyBorder="1" applyAlignment="1" applyProtection="1">
      <alignment horizontal="center"/>
      <protection hidden="1"/>
    </xf>
    <xf numFmtId="49" fontId="38" fillId="35" borderId="10" xfId="0" applyNumberFormat="1" applyFont="1" applyFill="1" applyBorder="1" applyAlignment="1" applyProtection="1">
      <alignment horizontal="center" wrapText="1"/>
      <protection hidden="1"/>
    </xf>
    <xf numFmtId="187" fontId="35" fillId="29" borderId="12" xfId="0" applyNumberFormat="1" applyFont="1" applyFill="1" applyBorder="1" applyAlignment="1" applyProtection="1">
      <alignment/>
      <protection hidden="1"/>
    </xf>
    <xf numFmtId="2" fontId="35" fillId="29" borderId="12" xfId="0" applyNumberFormat="1" applyFont="1" applyFill="1" applyBorder="1" applyAlignment="1" applyProtection="1">
      <alignment/>
      <protection hidden="1"/>
    </xf>
    <xf numFmtId="2" fontId="35" fillId="29" borderId="12" xfId="0" applyNumberFormat="1" applyFont="1" applyFill="1" applyBorder="1" applyAlignment="1" applyProtection="1">
      <alignment horizontal="right"/>
      <protection hidden="1"/>
    </xf>
    <xf numFmtId="2" fontId="29" fillId="34" borderId="16" xfId="0" applyNumberFormat="1" applyFont="1" applyFill="1" applyBorder="1" applyAlignment="1" applyProtection="1">
      <alignment/>
      <protection hidden="1"/>
    </xf>
    <xf numFmtId="2" fontId="29" fillId="34" borderId="0" xfId="0" applyNumberFormat="1" applyFont="1" applyFill="1" applyBorder="1" applyAlignment="1" applyProtection="1">
      <alignment/>
      <protection hidden="1"/>
    </xf>
    <xf numFmtId="2" fontId="29" fillId="29" borderId="0" xfId="0" applyNumberFormat="1" applyFont="1" applyFill="1" applyBorder="1" applyAlignment="1" applyProtection="1">
      <alignment shrinkToFit="1"/>
      <protection hidden="1"/>
    </xf>
    <xf numFmtId="2" fontId="39" fillId="29" borderId="0" xfId="0" applyNumberFormat="1" applyFont="1" applyFill="1" applyBorder="1" applyAlignment="1" applyProtection="1">
      <alignment shrinkToFit="1"/>
      <protection hidden="1"/>
    </xf>
    <xf numFmtId="176" fontId="40" fillId="29" borderId="24" xfId="0" applyNumberFormat="1" applyFont="1" applyFill="1" applyBorder="1" applyAlignment="1" applyProtection="1">
      <alignment/>
      <protection hidden="1"/>
    </xf>
    <xf numFmtId="0" fontId="6" fillId="35" borderId="42" xfId="0" applyFont="1" applyFill="1" applyBorder="1" applyAlignment="1" applyProtection="1">
      <alignment horizontal="center"/>
      <protection hidden="1"/>
    </xf>
    <xf numFmtId="0" fontId="6" fillId="35" borderId="18" xfId="0" applyFont="1" applyFill="1" applyBorder="1" applyAlignment="1" applyProtection="1">
      <alignment horizontal="center" wrapText="1"/>
      <protection hidden="1"/>
    </xf>
    <xf numFmtId="0" fontId="6" fillId="35" borderId="42" xfId="0" applyFont="1" applyFill="1" applyBorder="1" applyAlignment="1" applyProtection="1">
      <alignment horizontal="center" wrapText="1"/>
      <protection hidden="1"/>
    </xf>
    <xf numFmtId="184" fontId="0" fillId="0" borderId="16" xfId="0" applyNumberFormat="1" applyBorder="1" applyAlignment="1" applyProtection="1">
      <alignment/>
      <protection locked="0"/>
    </xf>
    <xf numFmtId="184" fontId="0" fillId="0" borderId="28" xfId="0" applyNumberFormat="1" applyBorder="1" applyAlignment="1" applyProtection="1">
      <alignment/>
      <protection locked="0"/>
    </xf>
    <xf numFmtId="184" fontId="0" fillId="0" borderId="21" xfId="0" applyNumberFormat="1" applyBorder="1" applyAlignment="1" applyProtection="1">
      <alignment horizontal="center"/>
      <protection locked="0"/>
    </xf>
    <xf numFmtId="183" fontId="36" fillId="29" borderId="29" xfId="0" applyNumberFormat="1" applyFont="1" applyFill="1" applyBorder="1" applyAlignment="1" applyProtection="1">
      <alignment/>
      <protection hidden="1"/>
    </xf>
    <xf numFmtId="2" fontId="35" fillId="29" borderId="0" xfId="0" applyNumberFormat="1" applyFont="1" applyFill="1" applyBorder="1" applyAlignment="1" applyProtection="1">
      <alignment/>
      <protection hidden="1"/>
    </xf>
    <xf numFmtId="2" fontId="35" fillId="29" borderId="0" xfId="0" applyNumberFormat="1" applyFont="1" applyFill="1" applyBorder="1" applyAlignment="1" applyProtection="1">
      <alignment horizontal="right"/>
      <protection hidden="1"/>
    </xf>
    <xf numFmtId="2" fontId="35" fillId="29" borderId="43" xfId="0" applyNumberFormat="1" applyFont="1" applyFill="1" applyBorder="1" applyAlignment="1" applyProtection="1">
      <alignment/>
      <protection hidden="1"/>
    </xf>
    <xf numFmtId="0" fontId="29" fillId="35" borderId="10" xfId="0" applyFont="1" applyFill="1" applyBorder="1" applyAlignment="1" applyProtection="1">
      <alignment horizontal="center"/>
      <protection hidden="1"/>
    </xf>
    <xf numFmtId="2" fontId="35" fillId="29" borderId="0" xfId="0" applyNumberFormat="1" applyFont="1" applyFill="1" applyAlignment="1" applyProtection="1">
      <alignment/>
      <protection hidden="1"/>
    </xf>
    <xf numFmtId="2" fontId="35" fillId="0" borderId="21" xfId="0" applyNumberFormat="1" applyFont="1" applyBorder="1" applyAlignment="1" applyProtection="1">
      <alignment/>
      <protection locked="0"/>
    </xf>
    <xf numFmtId="2" fontId="35" fillId="0" borderId="21" xfId="0" applyNumberFormat="1" applyFont="1" applyFill="1" applyBorder="1" applyAlignment="1" applyProtection="1">
      <alignment/>
      <protection locked="0"/>
    </xf>
    <xf numFmtId="0" fontId="29" fillId="35" borderId="10" xfId="0" applyFont="1" applyFill="1" applyBorder="1" applyAlignment="1" applyProtection="1" quotePrefix="1">
      <alignment horizontal="center"/>
      <protection hidden="1"/>
    </xf>
    <xf numFmtId="0" fontId="29" fillId="35" borderId="42" xfId="0" applyFont="1" applyFill="1" applyBorder="1" applyAlignment="1" applyProtection="1">
      <alignment horizontal="center"/>
      <protection hidden="1"/>
    </xf>
    <xf numFmtId="0" fontId="35" fillId="29" borderId="43" xfId="0" applyFont="1" applyFill="1" applyBorder="1" applyAlignment="1" applyProtection="1">
      <alignment horizontal="center"/>
      <protection hidden="1"/>
    </xf>
    <xf numFmtId="0" fontId="38" fillId="35" borderId="17" xfId="0" applyFont="1" applyFill="1" applyBorder="1" applyAlignment="1" applyProtection="1">
      <alignment horizontal="center" wrapText="1"/>
      <protection hidden="1"/>
    </xf>
    <xf numFmtId="0" fontId="38" fillId="35" borderId="10" xfId="0" applyFont="1" applyFill="1" applyBorder="1" applyAlignment="1" applyProtection="1">
      <alignment horizontal="center" wrapText="1"/>
      <protection hidden="1"/>
    </xf>
    <xf numFmtId="0" fontId="29" fillId="0" borderId="10" xfId="0" applyFont="1" applyBorder="1" applyAlignment="1" applyProtection="1">
      <alignment horizontal="center" wrapText="1"/>
      <protection hidden="1"/>
    </xf>
    <xf numFmtId="0" fontId="35" fillId="0" borderId="0" xfId="0" applyFont="1" applyAlignment="1" applyProtection="1">
      <alignment wrapText="1"/>
      <protection hidden="1"/>
    </xf>
    <xf numFmtId="9" fontId="29" fillId="29" borderId="35" xfId="0" applyNumberFormat="1" applyFont="1" applyFill="1" applyBorder="1" applyAlignment="1" applyProtection="1">
      <alignment/>
      <protection hidden="1"/>
    </xf>
    <xf numFmtId="49" fontId="38" fillId="35" borderId="0" xfId="0" applyNumberFormat="1" applyFont="1" applyFill="1" applyBorder="1" applyAlignment="1" applyProtection="1">
      <alignment horizontal="center" wrapText="1"/>
      <protection hidden="1"/>
    </xf>
    <xf numFmtId="2" fontId="0" fillId="29" borderId="0" xfId="0" applyNumberFormat="1" applyFont="1" applyFill="1" applyAlignment="1" applyProtection="1">
      <alignment/>
      <protection hidden="1"/>
    </xf>
    <xf numFmtId="2" fontId="0" fillId="29" borderId="0" xfId="0" applyNumberFormat="1" applyFont="1" applyFill="1" applyAlignment="1" applyProtection="1">
      <alignment/>
      <protection hidden="1"/>
    </xf>
    <xf numFmtId="0" fontId="0" fillId="35" borderId="0" xfId="0" applyFill="1" applyBorder="1" applyAlignment="1" applyProtection="1">
      <alignment/>
      <protection locked="0"/>
    </xf>
    <xf numFmtId="0" fontId="0" fillId="35" borderId="0" xfId="0" applyFill="1" applyAlignment="1" applyProtection="1">
      <alignment/>
      <protection hidden="1"/>
    </xf>
    <xf numFmtId="0" fontId="0" fillId="29" borderId="0" xfId="0" applyFont="1" applyFill="1" applyAlignment="1" applyProtection="1">
      <alignment/>
      <protection hidden="1"/>
    </xf>
    <xf numFmtId="0" fontId="0" fillId="0" borderId="0" xfId="0" applyFont="1" applyAlignment="1" applyProtection="1">
      <alignment horizontal="right"/>
      <protection hidden="1"/>
    </xf>
    <xf numFmtId="0" fontId="18" fillId="0" borderId="0" xfId="0" applyFont="1" applyFill="1" applyBorder="1" applyAlignment="1" applyProtection="1">
      <alignment horizontal="right"/>
      <protection hidden="1"/>
    </xf>
    <xf numFmtId="0" fontId="37" fillId="0" borderId="0" xfId="0" applyFont="1" applyFill="1" applyBorder="1" applyAlignment="1" applyProtection="1">
      <alignment horizontal="right"/>
      <protection hidden="1"/>
    </xf>
    <xf numFmtId="0" fontId="29" fillId="0" borderId="0" xfId="0" applyFont="1" applyFill="1" applyAlignment="1" applyProtection="1">
      <alignment/>
      <protection hidden="1"/>
    </xf>
    <xf numFmtId="0" fontId="35" fillId="0" borderId="0" xfId="0" applyFont="1" applyFill="1" applyAlignment="1" applyProtection="1">
      <alignment/>
      <protection hidden="1"/>
    </xf>
    <xf numFmtId="0" fontId="6" fillId="35" borderId="44" xfId="0" applyFont="1" applyFill="1" applyBorder="1" applyAlignment="1" applyProtection="1">
      <alignment horizontal="center"/>
      <protection hidden="1"/>
    </xf>
    <xf numFmtId="0" fontId="0" fillId="29" borderId="11" xfId="0" applyFill="1" applyBorder="1" applyAlignment="1" applyProtection="1">
      <alignment/>
      <protection hidden="1"/>
    </xf>
    <xf numFmtId="0" fontId="0" fillId="29" borderId="45" xfId="0" applyFill="1" applyBorder="1" applyAlignment="1" applyProtection="1">
      <alignment/>
      <protection hidden="1"/>
    </xf>
    <xf numFmtId="0" fontId="0" fillId="29" borderId="46" xfId="0" applyFill="1" applyBorder="1" applyAlignment="1" applyProtection="1">
      <alignment/>
      <protection hidden="1"/>
    </xf>
    <xf numFmtId="0" fontId="0" fillId="29" borderId="43" xfId="0" applyFill="1" applyBorder="1" applyAlignment="1" applyProtection="1">
      <alignment/>
      <protection hidden="1"/>
    </xf>
    <xf numFmtId="0" fontId="0" fillId="0" borderId="47" xfId="0" applyBorder="1" applyAlignment="1" applyProtection="1">
      <alignment/>
      <protection locked="0"/>
    </xf>
    <xf numFmtId="0" fontId="0" fillId="0" borderId="48" xfId="0" applyBorder="1" applyAlignment="1" applyProtection="1">
      <alignment/>
      <protection locked="0"/>
    </xf>
    <xf numFmtId="10" fontId="41" fillId="29" borderId="43" xfId="0" applyNumberFormat="1" applyFont="1" applyFill="1" applyBorder="1" applyAlignment="1" applyProtection="1">
      <alignment/>
      <protection hidden="1"/>
    </xf>
    <xf numFmtId="10" fontId="41" fillId="29" borderId="43" xfId="0" applyNumberFormat="1" applyFont="1" applyFill="1" applyBorder="1" applyAlignment="1" applyProtection="1">
      <alignment horizontal="center"/>
      <protection hidden="1"/>
    </xf>
    <xf numFmtId="0" fontId="6" fillId="35" borderId="42" xfId="0" applyFont="1" applyFill="1" applyBorder="1" applyAlignment="1" applyProtection="1">
      <alignment horizontal="left"/>
      <protection hidden="1"/>
    </xf>
    <xf numFmtId="0" fontId="35" fillId="0" borderId="21" xfId="0" applyFont="1" applyBorder="1" applyAlignment="1" applyProtection="1">
      <alignment horizontal="center"/>
      <protection locked="0"/>
    </xf>
    <xf numFmtId="0" fontId="0" fillId="0" borderId="49" xfId="0" applyBorder="1" applyAlignment="1" applyProtection="1">
      <alignment horizontal="center"/>
      <protection locked="0"/>
    </xf>
    <xf numFmtId="0" fontId="35" fillId="0" borderId="27" xfId="0" applyFont="1" applyBorder="1" applyAlignment="1" applyProtection="1">
      <alignment horizontal="center"/>
      <protection locked="0"/>
    </xf>
    <xf numFmtId="0" fontId="0" fillId="0" borderId="50" xfId="0" applyBorder="1" applyAlignment="1" applyProtection="1">
      <alignment horizontal="center"/>
      <protection locked="0"/>
    </xf>
    <xf numFmtId="0" fontId="29" fillId="35" borderId="19" xfId="0" applyFont="1" applyFill="1" applyBorder="1" applyAlignment="1" applyProtection="1">
      <alignment horizontal="center"/>
      <protection hidden="1"/>
    </xf>
    <xf numFmtId="0" fontId="6" fillId="37" borderId="31" xfId="0" applyFont="1" applyFill="1" applyBorder="1" applyAlignment="1" applyProtection="1">
      <alignment/>
      <protection hidden="1"/>
    </xf>
    <xf numFmtId="0" fontId="6" fillId="37" borderId="33" xfId="0" applyFont="1" applyFill="1" applyBorder="1" applyAlignment="1" applyProtection="1">
      <alignment/>
      <protection hidden="1"/>
    </xf>
    <xf numFmtId="0" fontId="6" fillId="37" borderId="14" xfId="0" applyFont="1" applyFill="1" applyBorder="1" applyAlignment="1" applyProtection="1">
      <alignment vertical="top" shrinkToFit="1"/>
      <protection hidden="1"/>
    </xf>
    <xf numFmtId="0" fontId="6" fillId="37" borderId="24" xfId="0" applyFont="1" applyFill="1" applyBorder="1" applyAlignment="1" applyProtection="1">
      <alignment vertical="top" shrinkToFit="1"/>
      <protection hidden="1"/>
    </xf>
    <xf numFmtId="0" fontId="42" fillId="0" borderId="0" xfId="0" applyFont="1" applyAlignment="1" applyProtection="1">
      <alignment/>
      <protection hidden="1"/>
    </xf>
    <xf numFmtId="0" fontId="0" fillId="29" borderId="0" xfId="0" applyFill="1" applyBorder="1" applyAlignment="1" applyProtection="1">
      <alignment horizontal="center"/>
      <protection locked="0"/>
    </xf>
    <xf numFmtId="0" fontId="0" fillId="29" borderId="0" xfId="0" applyFont="1" applyFill="1" applyBorder="1" applyAlignment="1" applyProtection="1">
      <alignment horizontal="center"/>
      <protection locked="0"/>
    </xf>
    <xf numFmtId="0" fontId="15" fillId="35" borderId="33" xfId="0" applyFont="1" applyFill="1" applyBorder="1" applyAlignment="1" applyProtection="1">
      <alignment vertical="top"/>
      <protection hidden="1"/>
    </xf>
    <xf numFmtId="2" fontId="6" fillId="35" borderId="10" xfId="0" applyNumberFormat="1" applyFont="1" applyFill="1" applyBorder="1" applyAlignment="1" applyProtection="1">
      <alignment horizontal="center" wrapText="1"/>
      <protection hidden="1"/>
    </xf>
    <xf numFmtId="2" fontId="6" fillId="35" borderId="51" xfId="0" applyNumberFormat="1" applyFont="1" applyFill="1" applyBorder="1" applyAlignment="1" applyProtection="1">
      <alignment horizontal="center" wrapText="1"/>
      <protection hidden="1"/>
    </xf>
    <xf numFmtId="2" fontId="6" fillId="35" borderId="52" xfId="0" applyNumberFormat="1" applyFont="1" applyFill="1" applyBorder="1" applyAlignment="1" applyProtection="1">
      <alignment horizontal="center" wrapText="1"/>
      <protection hidden="1"/>
    </xf>
    <xf numFmtId="0" fontId="0" fillId="0" borderId="0" xfId="0" applyAlignment="1" applyProtection="1">
      <alignment wrapText="1"/>
      <protection hidden="1"/>
    </xf>
    <xf numFmtId="0" fontId="6" fillId="35" borderId="24" xfId="0" applyFont="1" applyFill="1" applyBorder="1" applyAlignment="1" applyProtection="1">
      <alignment wrapText="1"/>
      <protection hidden="1"/>
    </xf>
    <xf numFmtId="2" fontId="0" fillId="0" borderId="0" xfId="0" applyNumberFormat="1" applyAlignment="1">
      <alignment/>
    </xf>
    <xf numFmtId="0" fontId="0" fillId="35" borderId="0" xfId="0" applyFill="1" applyAlignment="1" applyProtection="1">
      <alignment wrapText="1"/>
      <protection hidden="1"/>
    </xf>
    <xf numFmtId="1" fontId="6" fillId="35" borderId="51" xfId="0" applyNumberFormat="1" applyFont="1" applyFill="1" applyBorder="1" applyAlignment="1" applyProtection="1">
      <alignment horizontal="center" wrapText="1"/>
      <protection hidden="1"/>
    </xf>
    <xf numFmtId="1" fontId="6" fillId="35" borderId="10" xfId="0" applyNumberFormat="1" applyFont="1" applyFill="1" applyBorder="1" applyAlignment="1" applyProtection="1">
      <alignment horizontal="center" wrapText="1"/>
      <protection hidden="1"/>
    </xf>
    <xf numFmtId="1" fontId="6" fillId="35" borderId="52" xfId="0" applyNumberFormat="1" applyFont="1" applyFill="1" applyBorder="1" applyAlignment="1" applyProtection="1">
      <alignment horizontal="center" wrapText="1"/>
      <protection hidden="1"/>
    </xf>
    <xf numFmtId="0" fontId="0" fillId="0" borderId="53" xfId="0" applyBorder="1" applyAlignment="1" applyProtection="1">
      <alignment/>
      <protection locked="0"/>
    </xf>
    <xf numFmtId="0" fontId="6" fillId="35" borderId="0" xfId="0" applyFont="1" applyFill="1" applyBorder="1" applyAlignment="1" applyProtection="1">
      <alignment/>
      <protection hidden="1"/>
    </xf>
    <xf numFmtId="0" fontId="0" fillId="35" borderId="0" xfId="0" applyFill="1" applyBorder="1" applyAlignment="1" applyProtection="1">
      <alignment/>
      <protection hidden="1"/>
    </xf>
    <xf numFmtId="0" fontId="12" fillId="35" borderId="0" xfId="0" applyFont="1" applyFill="1" applyBorder="1" applyAlignment="1" applyProtection="1">
      <alignment horizontal="center" wrapText="1"/>
      <protection hidden="1"/>
    </xf>
    <xf numFmtId="0" fontId="38" fillId="35" borderId="0" xfId="0" applyFont="1" applyFill="1" applyBorder="1" applyAlignment="1" applyProtection="1">
      <alignment horizontal="center" wrapText="1"/>
      <protection hidden="1"/>
    </xf>
    <xf numFmtId="0" fontId="43" fillId="36" borderId="21" xfId="0" applyFont="1" applyFill="1" applyBorder="1" applyAlignment="1" applyProtection="1">
      <alignment horizontal="right"/>
      <protection hidden="1"/>
    </xf>
    <xf numFmtId="0" fontId="41" fillId="29" borderId="46" xfId="0" applyFont="1" applyFill="1" applyBorder="1" applyAlignment="1" applyProtection="1">
      <alignment horizontal="center"/>
      <protection hidden="1"/>
    </xf>
    <xf numFmtId="0" fontId="18" fillId="0" borderId="21" xfId="0" applyFont="1" applyBorder="1" applyAlignment="1" applyProtection="1">
      <alignment horizontal="right"/>
      <protection hidden="1" locked="0"/>
    </xf>
    <xf numFmtId="0" fontId="6" fillId="38" borderId="0" xfId="0" applyFont="1" applyFill="1" applyBorder="1" applyAlignment="1" applyProtection="1">
      <alignment/>
      <protection hidden="1"/>
    </xf>
    <xf numFmtId="0" fontId="12" fillId="38" borderId="0" xfId="0" applyFont="1" applyFill="1" applyBorder="1" applyAlignment="1" applyProtection="1">
      <alignment horizontal="center" wrapText="1"/>
      <protection hidden="1"/>
    </xf>
    <xf numFmtId="0" fontId="38" fillId="38" borderId="0" xfId="0" applyFont="1" applyFill="1" applyBorder="1" applyAlignment="1" applyProtection="1">
      <alignment horizontal="center" wrapText="1"/>
      <protection hidden="1"/>
    </xf>
    <xf numFmtId="176" fontId="0" fillId="29" borderId="0" xfId="0" applyNumberFormat="1" applyFill="1" applyAlignment="1" applyProtection="1">
      <alignment/>
      <protection hidden="1"/>
    </xf>
    <xf numFmtId="176" fontId="0" fillId="0" borderId="21" xfId="0" applyNumberFormat="1" applyBorder="1" applyAlignment="1" applyProtection="1">
      <alignment/>
      <protection locked="0"/>
    </xf>
    <xf numFmtId="0" fontId="35" fillId="0" borderId="0" xfId="0" applyFont="1" applyAlignment="1">
      <alignment/>
    </xf>
    <xf numFmtId="0" fontId="0" fillId="0" borderId="0" xfId="0" applyNumberFormat="1" applyAlignment="1" applyProtection="1">
      <alignment/>
      <protection hidden="1"/>
    </xf>
    <xf numFmtId="14" fontId="0" fillId="0" borderId="0" xfId="0" applyNumberFormat="1" applyAlignment="1">
      <alignment horizontal="left"/>
    </xf>
    <xf numFmtId="0" fontId="0" fillId="0" borderId="0" xfId="0" applyFill="1" applyBorder="1" applyAlignment="1" applyProtection="1">
      <alignment horizontal="right"/>
      <protection hidden="1"/>
    </xf>
    <xf numFmtId="14" fontId="0" fillId="0" borderId="0" xfId="0" applyNumberFormat="1" applyAlignment="1" applyProtection="1">
      <alignment horizontal="left"/>
      <protection hidden="1"/>
    </xf>
    <xf numFmtId="2" fontId="0" fillId="0" borderId="21" xfId="0" applyNumberFormat="1" applyFont="1" applyBorder="1" applyAlignment="1">
      <alignment horizontal="left" indent="2"/>
    </xf>
    <xf numFmtId="2" fontId="0" fillId="0" borderId="22" xfId="0" applyNumberFormat="1" applyFont="1" applyBorder="1" applyAlignment="1">
      <alignment horizontal="left" indent="2"/>
    </xf>
    <xf numFmtId="0" fontId="44" fillId="29" borderId="0" xfId="0" applyFont="1" applyFill="1" applyAlignment="1" applyProtection="1">
      <alignment/>
      <protection hidden="1"/>
    </xf>
    <xf numFmtId="0" fontId="44" fillId="0" borderId="0" xfId="0" applyFont="1" applyFill="1" applyAlignment="1" applyProtection="1">
      <alignment/>
      <protection hidden="1"/>
    </xf>
    <xf numFmtId="0" fontId="30" fillId="0" borderId="0" xfId="0" applyFont="1" applyFill="1" applyAlignment="1" applyProtection="1">
      <alignment/>
      <protection hidden="1"/>
    </xf>
    <xf numFmtId="0" fontId="1" fillId="29" borderId="0" xfId="0" applyFont="1" applyFill="1" applyAlignment="1" applyProtection="1">
      <alignment/>
      <protection hidden="1"/>
    </xf>
    <xf numFmtId="0" fontId="44" fillId="29" borderId="0" xfId="0" applyFont="1" applyFill="1" applyAlignment="1" applyProtection="1">
      <alignment horizontal="left" indent="1"/>
      <protection hidden="1"/>
    </xf>
    <xf numFmtId="0" fontId="0" fillId="29" borderId="13" xfId="0" applyFill="1" applyBorder="1" applyAlignment="1" applyProtection="1">
      <alignment horizontal="left"/>
      <protection hidden="1"/>
    </xf>
    <xf numFmtId="0" fontId="3" fillId="0" borderId="0" xfId="0" applyFont="1" applyFill="1" applyAlignment="1" applyProtection="1">
      <alignment/>
      <protection hidden="1"/>
    </xf>
    <xf numFmtId="0" fontId="0" fillId="0" borderId="0" xfId="0" applyFill="1" applyAlignment="1" applyProtection="1">
      <alignment/>
      <protection locked="0"/>
    </xf>
    <xf numFmtId="0" fontId="34" fillId="0" borderId="0" xfId="0" applyFont="1" applyFill="1" applyBorder="1" applyAlignment="1" applyProtection="1">
      <alignment/>
      <protection locked="0"/>
    </xf>
    <xf numFmtId="0" fontId="0" fillId="0" borderId="0" xfId="0" applyFill="1" applyBorder="1" applyAlignment="1" applyProtection="1">
      <alignment/>
      <protection locked="0"/>
    </xf>
    <xf numFmtId="2" fontId="2" fillId="29" borderId="21" xfId="0" applyNumberFormat="1" applyFont="1" applyFill="1" applyBorder="1" applyAlignment="1" applyProtection="1">
      <alignment shrinkToFit="1"/>
      <protection hidden="1"/>
    </xf>
    <xf numFmtId="0" fontId="34" fillId="0" borderId="13" xfId="0" applyFont="1" applyFill="1" applyBorder="1" applyAlignment="1" applyProtection="1">
      <alignment/>
      <protection locked="0"/>
    </xf>
    <xf numFmtId="0" fontId="0" fillId="29" borderId="0" xfId="0" applyFont="1" applyFill="1" applyAlignment="1" applyProtection="1">
      <alignment horizontal="left"/>
      <protection hidden="1"/>
    </xf>
    <xf numFmtId="2" fontId="0" fillId="29" borderId="0" xfId="0" applyNumberFormat="1" applyFont="1" applyFill="1" applyBorder="1" applyAlignment="1" applyProtection="1">
      <alignment/>
      <protection hidden="1"/>
    </xf>
    <xf numFmtId="0" fontId="45" fillId="0" borderId="0" xfId="0" applyFont="1" applyAlignment="1">
      <alignment/>
    </xf>
    <xf numFmtId="0" fontId="29" fillId="29" borderId="35" xfId="0" applyNumberFormat="1" applyFont="1" applyFill="1" applyBorder="1" applyAlignment="1" applyProtection="1">
      <alignment/>
      <protection hidden="1"/>
    </xf>
    <xf numFmtId="10" fontId="0" fillId="0" borderId="16" xfId="0" applyNumberFormat="1" applyBorder="1" applyAlignment="1" applyProtection="1">
      <alignment/>
      <protection locked="0"/>
    </xf>
    <xf numFmtId="0" fontId="40" fillId="0" borderId="0" xfId="0" applyFont="1" applyAlignment="1" applyProtection="1">
      <alignment/>
      <protection hidden="1"/>
    </xf>
    <xf numFmtId="0" fontId="29" fillId="0" borderId="0" xfId="0" applyFont="1" applyBorder="1" applyAlignment="1" applyProtection="1">
      <alignment horizontal="left"/>
      <protection hidden="1"/>
    </xf>
    <xf numFmtId="0" fontId="0" fillId="0" borderId="0" xfId="0" applyFont="1" applyBorder="1" applyAlignment="1" applyProtection="1">
      <alignment/>
      <protection hidden="1"/>
    </xf>
    <xf numFmtId="0" fontId="0" fillId="0" borderId="21" xfId="0" applyFill="1" applyBorder="1" applyAlignment="1" applyProtection="1">
      <alignment/>
      <protection locked="0"/>
    </xf>
    <xf numFmtId="0" fontId="6" fillId="0" borderId="0" xfId="0" applyFont="1" applyFill="1" applyBorder="1" applyAlignment="1" applyProtection="1">
      <alignment horizontal="left"/>
      <protection hidden="1"/>
    </xf>
    <xf numFmtId="0" fontId="6" fillId="0" borderId="0" xfId="0" applyFont="1" applyFill="1" applyBorder="1" applyAlignment="1" applyProtection="1">
      <alignment horizontal="center"/>
      <protection hidden="1"/>
    </xf>
    <xf numFmtId="0" fontId="0" fillId="0" borderId="0" xfId="0" applyFill="1" applyBorder="1" applyAlignment="1" applyProtection="1">
      <alignment/>
      <protection hidden="1"/>
    </xf>
    <xf numFmtId="0" fontId="0" fillId="29" borderId="54" xfId="0" applyFill="1" applyBorder="1" applyAlignment="1" applyProtection="1">
      <alignment/>
      <protection hidden="1"/>
    </xf>
    <xf numFmtId="2" fontId="0" fillId="29" borderId="0" xfId="0" applyNumberFormat="1" applyFont="1" applyFill="1" applyBorder="1" applyAlignment="1" applyProtection="1">
      <alignment/>
      <protection hidden="1" locked="0"/>
    </xf>
    <xf numFmtId="0" fontId="0" fillId="0" borderId="0" xfId="0" applyAlignment="1">
      <alignment/>
    </xf>
    <xf numFmtId="0" fontId="15" fillId="0" borderId="0" xfId="0" applyFont="1" applyFill="1" applyBorder="1" applyAlignment="1" applyProtection="1">
      <alignment horizontal="left" vertical="top"/>
      <protection hidden="1"/>
    </xf>
    <xf numFmtId="2" fontId="46" fillId="29" borderId="23" xfId="0" applyNumberFormat="1" applyFont="1" applyFill="1" applyBorder="1" applyAlignment="1" applyProtection="1">
      <alignment shrinkToFit="1"/>
      <protection hidden="1"/>
    </xf>
    <xf numFmtId="0" fontId="37" fillId="29" borderId="25" xfId="0" applyFont="1" applyFill="1" applyBorder="1" applyAlignment="1" applyProtection="1">
      <alignment horizontal="right"/>
      <protection hidden="1"/>
    </xf>
    <xf numFmtId="0" fontId="47" fillId="0" borderId="0" xfId="0" applyFont="1" applyAlignment="1" applyProtection="1">
      <alignment/>
      <protection hidden="1"/>
    </xf>
    <xf numFmtId="0" fontId="85" fillId="0" borderId="55" xfId="0" applyFont="1" applyBorder="1" applyAlignment="1">
      <alignment horizontal="center" wrapText="1"/>
    </xf>
    <xf numFmtId="0" fontId="21" fillId="35" borderId="56" xfId="0" applyFont="1" applyFill="1" applyBorder="1" applyAlignment="1" applyProtection="1">
      <alignment horizontal="center" vertical="top" shrinkToFit="1"/>
      <protection hidden="1"/>
    </xf>
    <xf numFmtId="0" fontId="1" fillId="0" borderId="16" xfId="0" applyFont="1" applyBorder="1" applyAlignment="1" applyProtection="1">
      <alignment horizontal="center" vertical="top" shrinkToFit="1"/>
      <protection hidden="1"/>
    </xf>
    <xf numFmtId="0" fontId="1" fillId="0" borderId="17" xfId="0" applyFont="1" applyBorder="1" applyAlignment="1" applyProtection="1">
      <alignment horizontal="center" vertical="top" shrinkToFit="1"/>
      <protection hidden="1"/>
    </xf>
    <xf numFmtId="0" fontId="15" fillId="35" borderId="14" xfId="0" applyFont="1" applyFill="1" applyBorder="1" applyAlignment="1" applyProtection="1">
      <alignment horizontal="left" vertical="top" wrapText="1"/>
      <protection hidden="1"/>
    </xf>
    <xf numFmtId="0" fontId="0" fillId="0" borderId="24" xfId="0" applyBorder="1" applyAlignment="1">
      <alignment/>
    </xf>
    <xf numFmtId="0" fontId="15" fillId="35" borderId="13" xfId="0" applyFont="1" applyFill="1" applyBorder="1" applyAlignment="1" applyProtection="1">
      <alignment horizontal="left" vertical="top"/>
      <protection hidden="1"/>
    </xf>
    <xf numFmtId="0" fontId="0" fillId="0" borderId="0" xfId="0" applyAlignment="1">
      <alignment/>
    </xf>
    <xf numFmtId="0" fontId="16" fillId="0" borderId="0" xfId="0" applyFont="1" applyFill="1" applyBorder="1" applyAlignment="1" applyProtection="1">
      <alignment vertical="top" wrapText="1"/>
      <protection hidden="1"/>
    </xf>
    <xf numFmtId="0" fontId="15" fillId="35" borderId="33" xfId="0" applyFont="1" applyFill="1" applyBorder="1" applyAlignment="1" applyProtection="1">
      <alignment horizontal="center" vertical="top" shrinkToFit="1"/>
      <protection hidden="1"/>
    </xf>
    <xf numFmtId="0" fontId="0" fillId="0" borderId="33" xfId="0" applyBorder="1" applyAlignment="1" applyProtection="1">
      <alignment/>
      <protection hidden="1"/>
    </xf>
    <xf numFmtId="0" fontId="0" fillId="0" borderId="41" xfId="0" applyBorder="1" applyAlignment="1" applyProtection="1">
      <alignment/>
      <protection hidden="1"/>
    </xf>
    <xf numFmtId="0" fontId="6" fillId="35" borderId="42" xfId="0" applyFont="1" applyFill="1" applyBorder="1" applyAlignment="1" applyProtection="1">
      <alignment horizontal="center"/>
      <protection hidden="1"/>
    </xf>
    <xf numFmtId="0" fontId="6" fillId="35" borderId="57" xfId="0"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6" fillId="35" borderId="58" xfId="0" applyFont="1" applyFill="1" applyBorder="1" applyAlignment="1" applyProtection="1">
      <alignment horizontal="center" wrapText="1"/>
      <protection hidden="1"/>
    </xf>
    <xf numFmtId="0" fontId="6" fillId="35" borderId="59" xfId="0" applyFont="1" applyFill="1" applyBorder="1" applyAlignment="1">
      <alignment horizontal="center"/>
    </xf>
    <xf numFmtId="0" fontId="6" fillId="35" borderId="60" xfId="0" applyFont="1" applyFill="1" applyBorder="1" applyAlignment="1">
      <alignment horizontal="center"/>
    </xf>
    <xf numFmtId="0" fontId="12" fillId="35" borderId="43" xfId="0" applyFont="1" applyFill="1" applyBorder="1" applyAlignment="1" applyProtection="1">
      <alignment horizontal="center" wrapText="1"/>
      <protection hidden="1"/>
    </xf>
    <xf numFmtId="0" fontId="12" fillId="35" borderId="34" xfId="0" applyFont="1" applyFill="1" applyBorder="1" applyAlignment="1" applyProtection="1">
      <alignment horizontal="center" wrapText="1"/>
      <protection hidden="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stom"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 dec" xfId="58"/>
    <cellStyle name="Note" xfId="59"/>
    <cellStyle name="Output" xfId="60"/>
    <cellStyle name="Percent" xfId="61"/>
    <cellStyle name="Title" xfId="62"/>
    <cellStyle name="Total" xfId="63"/>
    <cellStyle name="Warning Text" xfId="64"/>
  </cellStyles>
  <dxfs count="17">
    <dxf>
      <font>
        <b val="0"/>
        <i val="0"/>
        <color auto="1"/>
      </font>
      <fill>
        <patternFill>
          <bgColor indexed="13"/>
        </patternFill>
      </fill>
    </dxf>
    <dxf>
      <font>
        <b val="0"/>
        <i val="0"/>
        <color auto="1"/>
      </font>
      <fill>
        <patternFill>
          <bgColor indexed="13"/>
        </patternFill>
      </fill>
    </dxf>
    <dxf>
      <font>
        <color indexed="18"/>
      </font>
    </dxf>
    <dxf>
      <font>
        <color indexed="18"/>
      </font>
      <fill>
        <patternFill>
          <bgColor indexed="13"/>
        </patternFill>
      </fill>
    </dxf>
    <dxf>
      <font>
        <color indexed="18"/>
      </font>
      <fill>
        <patternFill>
          <bgColor indexed="13"/>
        </patternFill>
      </fill>
    </dxf>
    <dxf>
      <fill>
        <patternFill>
          <bgColor indexed="13"/>
        </patternFill>
      </fill>
    </dxf>
    <dxf>
      <font>
        <color indexed="18"/>
      </font>
      <fill>
        <patternFill>
          <bgColor indexed="13"/>
        </patternFill>
      </fill>
    </dxf>
    <dxf>
      <font>
        <color indexed="18"/>
      </font>
      <fill>
        <patternFill>
          <bgColor indexed="13"/>
        </patternFill>
      </fill>
    </dxf>
    <dxf>
      <font>
        <color indexed="18"/>
      </font>
      <fill>
        <patternFill>
          <bgColor indexed="13"/>
        </patternFill>
      </fill>
    </dxf>
    <dxf>
      <font>
        <b val="0"/>
        <i val="0"/>
        <color auto="1"/>
      </font>
      <fill>
        <patternFill>
          <bgColor indexed="13"/>
        </patternFill>
      </fill>
    </dxf>
    <dxf>
      <font>
        <color indexed="18"/>
      </font>
    </dxf>
    <dxf>
      <font>
        <color indexed="18"/>
      </font>
      <fill>
        <patternFill>
          <bgColor indexed="13"/>
        </patternFill>
      </fill>
    </dxf>
    <dxf>
      <font>
        <color indexed="18"/>
      </font>
      <fill>
        <patternFill>
          <bgColor indexed="13"/>
        </patternFill>
      </fill>
    </dxf>
    <dxf>
      <fill>
        <patternFill>
          <bgColor indexed="13"/>
        </patternFill>
      </fill>
    </dxf>
    <dxf>
      <font>
        <color indexed="18"/>
      </font>
    </dxf>
    <dxf>
      <font>
        <color indexed="18"/>
      </font>
      <fill>
        <patternFill>
          <bgColor indexed="13"/>
        </patternFill>
      </fill>
    </dxf>
    <dxf>
      <font>
        <color indexed="18"/>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0</xdr:row>
      <xdr:rowOff>104775</xdr:rowOff>
    </xdr:from>
    <xdr:ext cx="5838825" cy="3209925"/>
    <xdr:sp>
      <xdr:nvSpPr>
        <xdr:cNvPr id="1" name="Text Box 1"/>
        <xdr:cNvSpPr txBox="1">
          <a:spLocks noChangeArrowheads="1"/>
        </xdr:cNvSpPr>
      </xdr:nvSpPr>
      <xdr:spPr>
        <a:xfrm>
          <a:off x="142875" y="104775"/>
          <a:ext cx="5838825" cy="3209925"/>
        </a:xfrm>
        <a:prstGeom prst="rect">
          <a:avLst/>
        </a:prstGeom>
        <a:solidFill>
          <a:srgbClr val="FFFFFF"/>
        </a:solidFill>
        <a:ln w="9525" cmpd="sng">
          <a:solidFill>
            <a:srgbClr val="000000"/>
          </a:solidFill>
          <a:headEnd type="none"/>
          <a:tailEnd type="none"/>
        </a:ln>
      </xdr:spPr>
      <xdr:txBody>
        <a:bodyPr vertOverflow="clip" wrap="square" lIns="36576" tIns="32004" rIns="36576" bIns="0"/>
        <a:p>
          <a:pPr algn="ctr">
            <a:defRPr/>
          </a:pPr>
          <a:r>
            <a:rPr lang="en-US" cap="none" sz="1600" b="1" i="1" u="none" baseline="0">
              <a:solidFill>
                <a:srgbClr val="000000"/>
              </a:solidFill>
              <a:latin typeface="Arial"/>
              <a:ea typeface="Arial"/>
              <a:cs typeface="Arial"/>
            </a:rPr>
            <a:t>Disclaimer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DOCUMENT IS PROVIDED "AS IS" WITH NO WARRANTIES WHATSOEVER, INCLUDING ANY WARRANTY OF MERCHANTABILITY, FITNESS FOR ANY PARTICULAR PURPOSE, OR ANY WARRANTY OTHERWISE ARISING OUT OF ANY PROPOSAL, SPECIFICATION OR SAMPLE.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Information in this document is provided in connection with Intel products. No license, express or implied, by estoppel or otherwise, to any intellectual property rights is granted by this document. Except as provided in Intel's Terms and Conditions of Sale for such products, Intel assumes no liability whatsoever, and Intel disclaims any express or implied warranty, relating to sale and/or use of Intel products including liability or warranties relating to fitness for a particular purpose, merchantability, or infringement of any patent, copyright or other intellectual property right. Intel products are not intended for use in medical, life saving, or life sustaining applications. 
</a:t>
          </a:r>
          <a:r>
            <a:rPr lang="en-US" cap="none" sz="1000" b="0" i="0" u="none" baseline="0">
              <a:solidFill>
                <a:srgbClr val="000000"/>
              </a:solidFill>
              <a:latin typeface="Arial"/>
              <a:ea typeface="Arial"/>
              <a:cs typeface="Arial"/>
            </a:rPr>
            <a:t>Intel retains the right to make changes to this document at any time, without notice.  This document   should be used for reference only and the contained data is dependent on specific hardware.
</a:t>
          </a:r>
          <a:r>
            <a:rPr lang="en-US" cap="none" sz="1000" b="0" i="0" u="none" baseline="0">
              <a:solidFill>
                <a:srgbClr val="000000"/>
              </a:solidFill>
              <a:latin typeface="Arial"/>
              <a:ea typeface="Arial"/>
              <a:cs typeface="Arial"/>
            </a:rPr>
            <a:t>The hardware vendor remains solely responsible for the design, sale and functionality of its product, including any liability arising from product infringement or product warranty.
</a:t>
          </a:r>
          <a:r>
            <a:rPr lang="en-US" cap="none" sz="1000" b="0" i="0" u="none" baseline="0">
              <a:solidFill>
                <a:srgbClr val="000000"/>
              </a:solidFill>
              <a:latin typeface="Arial"/>
              <a:ea typeface="Arial"/>
              <a:cs typeface="Arial"/>
            </a:rPr>
            <a:t>Copyright © Intel Corporation 2009. 
</a:t>
          </a:r>
          <a:r>
            <a:rPr lang="en-US" cap="none" sz="1000" b="0" i="0" u="none" baseline="0">
              <a:solidFill>
                <a:srgbClr val="000000"/>
              </a:solidFill>
              <a:latin typeface="Arial"/>
              <a:ea typeface="Arial"/>
              <a:cs typeface="Arial"/>
            </a:rPr>
            <a:t>*Other brands and names are the property of their respective owners.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33</xdr:row>
      <xdr:rowOff>104775</xdr:rowOff>
    </xdr:from>
    <xdr:to>
      <xdr:col>5</xdr:col>
      <xdr:colOff>428625</xdr:colOff>
      <xdr:row>53</xdr:row>
      <xdr:rowOff>114300</xdr:rowOff>
    </xdr:to>
    <xdr:sp>
      <xdr:nvSpPr>
        <xdr:cNvPr id="1" name="Text Box 6"/>
        <xdr:cNvSpPr txBox="1">
          <a:spLocks noChangeArrowheads="1"/>
        </xdr:cNvSpPr>
      </xdr:nvSpPr>
      <xdr:spPr>
        <a:xfrm>
          <a:off x="180975" y="5210175"/>
          <a:ext cx="4105275" cy="324802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To define a custom chassis record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Enter the PS limits from the system or power supply
</a:t>
          </a:r>
          <a:r>
            <a:rPr lang="en-US" cap="none" sz="1000" b="0" i="0" u="none" baseline="0">
              <a:solidFill>
                <a:srgbClr val="000000"/>
              </a:solidFill>
              <a:latin typeface="Arial"/>
              <a:ea typeface="Arial"/>
              <a:cs typeface="Arial"/>
            </a:rPr>
            <a:t> specification.  NOTE: if PSU has a single 12V output, aggregate all 12V usage on the summary page.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Enter the 12V fan current in amps for fans at maximum speed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Enter the maximum number of hard drives the system supports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4A. If the chassis defined has a hotswap backplane with an on board 5V converter, enter the converter efficiency under the HSPB VR Eff%.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4B. If the chassis will supply 5V power from the Willowbrook drive power connector, enter 0 under the HSPB VR Eff%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5. Enter the overall PS Efficiency. If specified generally, enter the same number in both voltage columns. 
</a:t>
          </a:r>
          <a:r>
            <a:rPr lang="en-US" cap="none" sz="1000" b="0" i="0" u="none" baseline="0">
              <a:solidFill>
                <a:srgbClr val="000000"/>
              </a:solidFill>
              <a:latin typeface="Arial"/>
              <a:ea typeface="Arial"/>
              <a:cs typeface="Arial"/>
            </a:rPr>
            <a:t>
</a:t>
          </a:r>
        </a:p>
      </xdr:txBody>
    </xdr:sp>
    <xdr:clientData/>
  </xdr:twoCellAnchor>
  <xdr:twoCellAnchor>
    <xdr:from>
      <xdr:col>5</xdr:col>
      <xdr:colOff>247650</xdr:colOff>
      <xdr:row>29</xdr:row>
      <xdr:rowOff>114300</xdr:rowOff>
    </xdr:from>
    <xdr:to>
      <xdr:col>6</xdr:col>
      <xdr:colOff>238125</xdr:colOff>
      <xdr:row>36</xdr:row>
      <xdr:rowOff>0</xdr:rowOff>
    </xdr:to>
    <xdr:sp>
      <xdr:nvSpPr>
        <xdr:cNvPr id="2" name="Line 7"/>
        <xdr:cNvSpPr>
          <a:spLocks/>
        </xdr:cNvSpPr>
      </xdr:nvSpPr>
      <xdr:spPr>
        <a:xfrm flipV="1">
          <a:off x="4105275" y="4572000"/>
          <a:ext cx="695325" cy="1019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609600</xdr:colOff>
      <xdr:row>29</xdr:row>
      <xdr:rowOff>104775</xdr:rowOff>
    </xdr:from>
    <xdr:to>
      <xdr:col>9</xdr:col>
      <xdr:colOff>180975</xdr:colOff>
      <xdr:row>40</xdr:row>
      <xdr:rowOff>66675</xdr:rowOff>
    </xdr:to>
    <xdr:sp>
      <xdr:nvSpPr>
        <xdr:cNvPr id="3" name="Line 8"/>
        <xdr:cNvSpPr>
          <a:spLocks/>
        </xdr:cNvSpPr>
      </xdr:nvSpPr>
      <xdr:spPr>
        <a:xfrm flipV="1">
          <a:off x="3762375" y="4562475"/>
          <a:ext cx="1981200" cy="1743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676275</xdr:colOff>
      <xdr:row>29</xdr:row>
      <xdr:rowOff>104775</xdr:rowOff>
    </xdr:from>
    <xdr:to>
      <xdr:col>11</xdr:col>
      <xdr:colOff>180975</xdr:colOff>
      <xdr:row>42</xdr:row>
      <xdr:rowOff>57150</xdr:rowOff>
    </xdr:to>
    <xdr:sp>
      <xdr:nvSpPr>
        <xdr:cNvPr id="4" name="Line 10"/>
        <xdr:cNvSpPr>
          <a:spLocks/>
        </xdr:cNvSpPr>
      </xdr:nvSpPr>
      <xdr:spPr>
        <a:xfrm flipV="1">
          <a:off x="3829050" y="4562475"/>
          <a:ext cx="2276475" cy="2057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29</xdr:row>
      <xdr:rowOff>76200</xdr:rowOff>
    </xdr:from>
    <xdr:to>
      <xdr:col>12</xdr:col>
      <xdr:colOff>314325</xdr:colOff>
      <xdr:row>45</xdr:row>
      <xdr:rowOff>142875</xdr:rowOff>
    </xdr:to>
    <xdr:sp>
      <xdr:nvSpPr>
        <xdr:cNvPr id="5" name="Line 11"/>
        <xdr:cNvSpPr>
          <a:spLocks/>
        </xdr:cNvSpPr>
      </xdr:nvSpPr>
      <xdr:spPr>
        <a:xfrm flipV="1">
          <a:off x="4200525" y="4533900"/>
          <a:ext cx="2362200" cy="2657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29</xdr:row>
      <xdr:rowOff>104775</xdr:rowOff>
    </xdr:from>
    <xdr:to>
      <xdr:col>14</xdr:col>
      <xdr:colOff>0</xdr:colOff>
      <xdr:row>50</xdr:row>
      <xdr:rowOff>38100</xdr:rowOff>
    </xdr:to>
    <xdr:sp>
      <xdr:nvSpPr>
        <xdr:cNvPr id="6" name="Line 12"/>
        <xdr:cNvSpPr>
          <a:spLocks/>
        </xdr:cNvSpPr>
      </xdr:nvSpPr>
      <xdr:spPr>
        <a:xfrm flipV="1">
          <a:off x="4219575" y="4562475"/>
          <a:ext cx="3171825" cy="3333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sitka\hardware\design_issues\SITPWR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tboyd1\Local%20Settings\Temporary%20Internet%20Files\OLK2CD\Copy%20of%20sr15xx_sr2500_powerbudget_tool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wer Share"/>
      <sheetName val="Dual PS"/>
      <sheetName val="Single PS"/>
      <sheetName val="pwr shr 1 ps"/>
      <sheetName val="Processors"/>
      <sheetName val="DIMM Memory"/>
      <sheetName val="Baseboard"/>
      <sheetName val="GTL"/>
      <sheetName val="Peripherals"/>
      <sheetName val="Disk Drive"/>
      <sheetName val="SCSI Power"/>
    </sheetNames>
    <sheetDataSet>
      <sheetData sheetId="0">
        <row r="40">
          <cell r="B40">
            <v>500</v>
          </cell>
        </row>
        <row r="41">
          <cell r="B41" t="str">
            <v>2MB</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sclaimer"/>
      <sheetName val="Instructions"/>
      <sheetName val="Summary"/>
      <sheetName val="Intel Chassis"/>
      <sheetName val="Serverboard Config"/>
      <sheetName val="Serverboard"/>
      <sheetName val="PCIRisers"/>
      <sheetName val="Chassis"/>
      <sheetName val="Processors"/>
      <sheetName val="Memory"/>
      <sheetName val="PCI"/>
      <sheetName val="HSBP"/>
      <sheetName val="HardDrive"/>
      <sheetName val="Peripherals"/>
      <sheetName val="Macro1"/>
      <sheetName val="Revis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2.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9">
    <pageSetUpPr fitToPage="1"/>
  </sheetPr>
  <dimension ref="A1:A1"/>
  <sheetViews>
    <sheetView showGridLines="0" showRowColHeaders="0" tabSelected="1" zoomScalePageLayoutView="0" workbookViewId="0" topLeftCell="A1">
      <selection activeCell="A7" sqref="A7"/>
    </sheetView>
  </sheetViews>
  <sheetFormatPr defaultColWidth="9.140625" defaultRowHeight="12.75"/>
  <sheetData/>
  <sheetProtection password="DBB7" sheet="1" objects="1" scenarios="1"/>
  <printOptions/>
  <pageMargins left="0.75" right="0.75" top="1" bottom="1" header="0.5" footer="0.5"/>
  <pageSetup fitToHeight="1" fitToWidth="1" horizontalDpi="600" verticalDpi="600" orientation="portrait" scale="97" r:id="rId3"/>
  <drawing r:id="rId2"/>
  <legacyDrawing r:id="rId1"/>
</worksheet>
</file>

<file path=xl/worksheets/sheet10.xml><?xml version="1.0" encoding="utf-8"?>
<worksheet xmlns="http://schemas.openxmlformats.org/spreadsheetml/2006/main" xmlns:r="http://schemas.openxmlformats.org/officeDocument/2006/relationships">
  <sheetPr codeName="Sheet7"/>
  <dimension ref="A1:I49"/>
  <sheetViews>
    <sheetView showRowColHeaders="0" zoomScale="85" zoomScaleNormal="85" zoomScalePageLayoutView="0" workbookViewId="0" topLeftCell="A1">
      <selection activeCell="A8" sqref="A8"/>
    </sheetView>
  </sheetViews>
  <sheetFormatPr defaultColWidth="8.8515625" defaultRowHeight="12.75"/>
  <cols>
    <col min="1" max="1" width="41.8515625" style="6" customWidth="1"/>
    <col min="2" max="2" width="8.8515625" style="6" customWidth="1"/>
    <col min="3" max="3" width="8.8515625" style="6" hidden="1" customWidth="1"/>
    <col min="4" max="4" width="8.8515625" style="74" customWidth="1"/>
    <col min="5" max="5" width="8.8515625" style="6" hidden="1" customWidth="1"/>
    <col min="6" max="6" width="8.8515625" style="6" customWidth="1"/>
    <col min="7" max="7" width="24.28125" style="6" customWidth="1"/>
    <col min="8" max="8" width="12.00390625" style="6" customWidth="1"/>
    <col min="9" max="16384" width="8.8515625" style="6" customWidth="1"/>
  </cols>
  <sheetData>
    <row r="1" spans="1:6" ht="24">
      <c r="A1" s="243" t="s">
        <v>90</v>
      </c>
      <c r="B1" s="245" t="s">
        <v>8</v>
      </c>
      <c r="C1" s="245" t="s">
        <v>9</v>
      </c>
      <c r="D1" s="245" t="s">
        <v>187</v>
      </c>
      <c r="E1" s="246" t="s">
        <v>107</v>
      </c>
      <c r="F1" s="245" t="s">
        <v>40</v>
      </c>
    </row>
    <row r="2" spans="1:6" ht="12.75">
      <c r="A2" s="1" t="s">
        <v>26</v>
      </c>
      <c r="B2" s="1"/>
      <c r="C2" s="1"/>
      <c r="D2" s="1"/>
      <c r="E2" s="1"/>
      <c r="F2" s="1" t="s">
        <v>64</v>
      </c>
    </row>
    <row r="3" spans="1:6" ht="12.75">
      <c r="A3" s="1" t="s">
        <v>200</v>
      </c>
      <c r="B3" s="1">
        <v>0.5</v>
      </c>
      <c r="C3" s="1"/>
      <c r="D3" s="1">
        <v>0.3</v>
      </c>
      <c r="E3" s="1"/>
      <c r="F3" s="5">
        <f aca="true" t="shared" si="0" ref="F3:F8">B3*3.3+C3*5+D3*12+E3*12</f>
        <v>5.25</v>
      </c>
    </row>
    <row r="4" spans="1:6" ht="12.75">
      <c r="A4" s="1" t="s">
        <v>122</v>
      </c>
      <c r="B4" s="1">
        <v>0.85</v>
      </c>
      <c r="C4" s="1"/>
      <c r="D4" s="1">
        <v>0.6</v>
      </c>
      <c r="E4" s="1"/>
      <c r="F4" s="5">
        <f t="shared" si="0"/>
        <v>10.004999999999999</v>
      </c>
    </row>
    <row r="5" spans="1:6" ht="12.75">
      <c r="A5" s="1" t="s">
        <v>123</v>
      </c>
      <c r="B5" s="1">
        <v>1.65</v>
      </c>
      <c r="C5" s="1"/>
      <c r="D5" s="1">
        <v>0.8</v>
      </c>
      <c r="E5" s="1"/>
      <c r="F5" s="5">
        <f t="shared" si="0"/>
        <v>15.045000000000002</v>
      </c>
    </row>
    <row r="6" spans="1:6" ht="12.75">
      <c r="A6" s="1" t="s">
        <v>124</v>
      </c>
      <c r="B6" s="1">
        <v>3</v>
      </c>
      <c r="C6" s="1"/>
      <c r="D6" s="1">
        <v>1.25</v>
      </c>
      <c r="E6" s="1"/>
      <c r="F6" s="5">
        <f t="shared" si="0"/>
        <v>24.9</v>
      </c>
    </row>
    <row r="7" spans="1:7" ht="12.75">
      <c r="A7" s="141" t="s">
        <v>65</v>
      </c>
      <c r="B7" s="141"/>
      <c r="C7" s="141"/>
      <c r="D7" s="141"/>
      <c r="E7" s="141"/>
      <c r="F7" s="5">
        <f t="shared" si="0"/>
        <v>0</v>
      </c>
      <c r="G7" s="16" t="s">
        <v>5</v>
      </c>
    </row>
    <row r="8" spans="1:7" ht="12.75">
      <c r="A8" s="141" t="s">
        <v>65</v>
      </c>
      <c r="B8" s="141"/>
      <c r="C8" s="141"/>
      <c r="D8" s="141"/>
      <c r="E8" s="141"/>
      <c r="F8" s="5">
        <f t="shared" si="0"/>
        <v>0</v>
      </c>
      <c r="G8" s="16" t="s">
        <v>5</v>
      </c>
    </row>
    <row r="9" spans="1:7" ht="12.75">
      <c r="A9" s="141" t="s">
        <v>65</v>
      </c>
      <c r="B9" s="141"/>
      <c r="C9" s="141"/>
      <c r="D9" s="141"/>
      <c r="E9" s="141"/>
      <c r="F9" s="5">
        <f aca="true" t="shared" si="1" ref="F9:F14">B9*3.3+C9*5+D9*12+E9*12</f>
        <v>0</v>
      </c>
      <c r="G9" s="16" t="s">
        <v>5</v>
      </c>
    </row>
    <row r="10" spans="1:9" ht="12.75">
      <c r="A10" s="141" t="s">
        <v>65</v>
      </c>
      <c r="B10" s="141"/>
      <c r="C10" s="141"/>
      <c r="D10" s="141"/>
      <c r="E10" s="141"/>
      <c r="F10" s="5">
        <f t="shared" si="1"/>
        <v>0</v>
      </c>
      <c r="G10" s="16" t="s">
        <v>5</v>
      </c>
      <c r="H10" s="86"/>
      <c r="I10" s="86"/>
    </row>
    <row r="11" spans="1:9" ht="12.75">
      <c r="A11" s="141" t="s">
        <v>65</v>
      </c>
      <c r="B11" s="141"/>
      <c r="C11" s="141"/>
      <c r="D11" s="141"/>
      <c r="E11" s="141"/>
      <c r="F11" s="5">
        <f t="shared" si="1"/>
        <v>0</v>
      </c>
      <c r="G11" s="16" t="s">
        <v>5</v>
      </c>
      <c r="H11" s="86"/>
      <c r="I11" s="86"/>
    </row>
    <row r="12" spans="1:9" ht="12.75">
      <c r="A12" s="141" t="s">
        <v>65</v>
      </c>
      <c r="B12" s="141"/>
      <c r="C12" s="141"/>
      <c r="D12" s="141"/>
      <c r="E12" s="141"/>
      <c r="F12" s="5">
        <f t="shared" si="1"/>
        <v>0</v>
      </c>
      <c r="G12" s="16" t="s">
        <v>5</v>
      </c>
      <c r="H12" s="86"/>
      <c r="I12" s="86"/>
    </row>
    <row r="13" spans="1:9" ht="12.75">
      <c r="A13" s="141" t="s">
        <v>65</v>
      </c>
      <c r="B13" s="141"/>
      <c r="C13" s="141"/>
      <c r="D13" s="141"/>
      <c r="E13" s="141"/>
      <c r="F13" s="5">
        <f t="shared" si="1"/>
        <v>0</v>
      </c>
      <c r="G13" s="16" t="s">
        <v>5</v>
      </c>
      <c r="H13" s="86"/>
      <c r="I13" s="86"/>
    </row>
    <row r="14" spans="1:9" ht="12.75">
      <c r="A14" s="141" t="s">
        <v>65</v>
      </c>
      <c r="B14" s="141"/>
      <c r="C14" s="141"/>
      <c r="D14" s="141"/>
      <c r="E14" s="141"/>
      <c r="F14" s="5">
        <f t="shared" si="1"/>
        <v>0</v>
      </c>
      <c r="G14" s="16" t="s">
        <v>5</v>
      </c>
      <c r="H14" s="86"/>
      <c r="I14" s="86"/>
    </row>
    <row r="15" spans="1:9" ht="12.75">
      <c r="A15" s="141" t="s">
        <v>65</v>
      </c>
      <c r="B15" s="141"/>
      <c r="C15" s="141"/>
      <c r="D15" s="141"/>
      <c r="E15" s="141"/>
      <c r="F15" s="5">
        <f>B15*3.3+C15*5+D15*12+E15*12</f>
        <v>0</v>
      </c>
      <c r="G15" s="16" t="s">
        <v>5</v>
      </c>
      <c r="H15" s="86"/>
      <c r="I15" s="86"/>
    </row>
    <row r="16" spans="1:9" ht="12.75">
      <c r="A16" s="141" t="s">
        <v>65</v>
      </c>
      <c r="B16" s="141"/>
      <c r="C16" s="141"/>
      <c r="D16" s="141"/>
      <c r="E16" s="141"/>
      <c r="F16" s="5">
        <f>B16*3.3+C16*5+D16*12+E16*12</f>
        <v>0</v>
      </c>
      <c r="G16" s="16" t="s">
        <v>5</v>
      </c>
      <c r="H16" s="86"/>
      <c r="I16" s="86"/>
    </row>
    <row r="17" spans="1:9" ht="12.75">
      <c r="A17" s="141" t="s">
        <v>65</v>
      </c>
      <c r="B17" s="141"/>
      <c r="C17" s="141"/>
      <c r="D17" s="141"/>
      <c r="E17" s="141"/>
      <c r="F17" s="5">
        <f>B17*3.3+C17*5+D17*12+E17*12</f>
        <v>0</v>
      </c>
      <c r="G17" s="16" t="s">
        <v>5</v>
      </c>
      <c r="H17" s="86"/>
      <c r="I17" s="86"/>
    </row>
    <row r="18" spans="1:9" ht="12.75">
      <c r="A18" s="141" t="s">
        <v>65</v>
      </c>
      <c r="B18" s="141"/>
      <c r="C18" s="141"/>
      <c r="D18" s="141"/>
      <c r="E18" s="141"/>
      <c r="F18" s="5">
        <f>B18*3.3+C18*5+D18*12+E18*12</f>
        <v>0</v>
      </c>
      <c r="G18" s="16" t="s">
        <v>5</v>
      </c>
      <c r="H18" s="86"/>
      <c r="I18" s="86"/>
    </row>
    <row r="19" spans="1:9" ht="12.75">
      <c r="A19" s="242" t="s">
        <v>65</v>
      </c>
      <c r="B19" s="242"/>
      <c r="C19" s="242"/>
      <c r="D19" s="242"/>
      <c r="E19" s="242"/>
      <c r="F19" s="5">
        <f>B19*3.3+C19*5+D19*12+E19*12</f>
        <v>0</v>
      </c>
      <c r="G19" s="16" t="s">
        <v>5</v>
      </c>
      <c r="H19" s="86"/>
      <c r="I19" s="86"/>
    </row>
    <row r="20" spans="1:9" ht="24" customHeight="1">
      <c r="A20" s="243" t="s">
        <v>128</v>
      </c>
      <c r="B20" s="201"/>
      <c r="C20" s="201"/>
      <c r="D20" s="201"/>
      <c r="E20" s="201"/>
      <c r="F20" s="244"/>
      <c r="G20" s="86"/>
      <c r="H20" s="86"/>
      <c r="I20" s="86"/>
    </row>
    <row r="21" spans="1:9" ht="12.75">
      <c r="A21" s="1" t="s">
        <v>26</v>
      </c>
      <c r="B21" s="1"/>
      <c r="C21" s="1"/>
      <c r="D21" s="1"/>
      <c r="E21" s="1"/>
      <c r="F21" s="1" t="s">
        <v>64</v>
      </c>
      <c r="G21" s="86"/>
      <c r="H21" s="86"/>
      <c r="I21" s="86"/>
    </row>
    <row r="22" spans="1:9" ht="12.75">
      <c r="A22" s="260" t="s">
        <v>165</v>
      </c>
      <c r="B22" s="1">
        <v>1.31</v>
      </c>
      <c r="C22" s="1"/>
      <c r="D22" s="1"/>
      <c r="E22" s="1"/>
      <c r="F22" s="5">
        <f aca="true" t="shared" si="2" ref="F22:F29">B22*3.3+C22*5+D22*12+E22*12</f>
        <v>4.3229999999999995</v>
      </c>
      <c r="G22" s="86"/>
      <c r="H22" s="86"/>
      <c r="I22" s="86"/>
    </row>
    <row r="23" spans="1:9" ht="12.75">
      <c r="A23" s="260" t="s">
        <v>164</v>
      </c>
      <c r="B23" s="1">
        <v>1.21</v>
      </c>
      <c r="C23" s="1"/>
      <c r="D23" s="1"/>
      <c r="E23" s="1"/>
      <c r="F23" s="5">
        <f t="shared" si="2"/>
        <v>3.993</v>
      </c>
      <c r="G23" s="86"/>
      <c r="H23" s="86"/>
      <c r="I23" s="86"/>
    </row>
    <row r="24" spans="1:9" ht="12.75">
      <c r="A24" s="261" t="s">
        <v>168</v>
      </c>
      <c r="B24" s="1">
        <v>3.73</v>
      </c>
      <c r="C24" s="1"/>
      <c r="D24" s="1"/>
      <c r="E24" s="1"/>
      <c r="F24" s="5">
        <f t="shared" si="2"/>
        <v>12.309</v>
      </c>
      <c r="G24" s="86"/>
      <c r="H24" s="86"/>
      <c r="I24" s="86"/>
    </row>
    <row r="25" spans="1:9" ht="12.75">
      <c r="A25" s="260" t="s">
        <v>162</v>
      </c>
      <c r="B25" s="1">
        <v>4.09</v>
      </c>
      <c r="C25" s="1"/>
      <c r="D25" s="1"/>
      <c r="E25" s="1"/>
      <c r="F25" s="5">
        <f t="shared" si="2"/>
        <v>13.496999999999998</v>
      </c>
      <c r="G25" s="86"/>
      <c r="H25" s="86"/>
      <c r="I25" s="86"/>
    </row>
    <row r="26" spans="1:9" ht="12.75">
      <c r="A26" s="260" t="s">
        <v>163</v>
      </c>
      <c r="B26" s="1">
        <v>3.64</v>
      </c>
      <c r="C26" s="1"/>
      <c r="D26" s="1"/>
      <c r="E26" s="1"/>
      <c r="F26" s="5">
        <f t="shared" si="2"/>
        <v>12.012</v>
      </c>
      <c r="G26" s="86"/>
      <c r="H26" s="86"/>
      <c r="I26" s="86"/>
    </row>
    <row r="27" spans="1:9" ht="12.75">
      <c r="A27" s="260" t="s">
        <v>161</v>
      </c>
      <c r="B27" s="1">
        <v>3.94</v>
      </c>
      <c r="C27" s="1"/>
      <c r="D27" s="1"/>
      <c r="E27" s="1"/>
      <c r="F27" s="5">
        <f t="shared" si="2"/>
        <v>13.001999999999999</v>
      </c>
      <c r="G27" s="86"/>
      <c r="H27" s="86"/>
      <c r="I27" s="86"/>
    </row>
    <row r="28" spans="1:9" ht="12.75">
      <c r="A28" s="141" t="s">
        <v>65</v>
      </c>
      <c r="B28" s="141"/>
      <c r="C28" s="141"/>
      <c r="D28" s="141"/>
      <c r="E28" s="141"/>
      <c r="F28" s="1">
        <f t="shared" si="2"/>
        <v>0</v>
      </c>
      <c r="G28" s="16" t="s">
        <v>5</v>
      </c>
      <c r="H28" s="86"/>
      <c r="I28" s="86"/>
    </row>
    <row r="29" spans="1:9" ht="12.75">
      <c r="A29" s="141" t="s">
        <v>65</v>
      </c>
      <c r="B29" s="141"/>
      <c r="C29" s="141"/>
      <c r="D29" s="141"/>
      <c r="E29" s="141"/>
      <c r="F29" s="1">
        <f t="shared" si="2"/>
        <v>0</v>
      </c>
      <c r="G29" s="16" t="s">
        <v>5</v>
      </c>
      <c r="H29" s="86"/>
      <c r="I29" s="86"/>
    </row>
    <row r="30" spans="1:9" ht="12.75">
      <c r="A30" s="141" t="s">
        <v>65</v>
      </c>
      <c r="B30" s="141"/>
      <c r="C30" s="141"/>
      <c r="D30" s="141"/>
      <c r="E30" s="141"/>
      <c r="F30" s="1">
        <f>B30*3.3+C30*5+D30*12+E30*12</f>
        <v>0</v>
      </c>
      <c r="G30" s="16" t="s">
        <v>5</v>
      </c>
      <c r="H30" s="86"/>
      <c r="I30" s="86"/>
    </row>
    <row r="31" spans="1:9" ht="24" customHeight="1">
      <c r="A31" s="243" t="s">
        <v>189</v>
      </c>
      <c r="B31" s="201"/>
      <c r="C31" s="201"/>
      <c r="D31" s="201"/>
      <c r="E31" s="201"/>
      <c r="F31" s="244"/>
      <c r="G31" s="86"/>
      <c r="H31" s="86"/>
      <c r="I31" s="86"/>
    </row>
    <row r="32" spans="1:9" ht="12.75">
      <c r="A32" s="1" t="s">
        <v>26</v>
      </c>
      <c r="B32" s="1"/>
      <c r="C32" s="1"/>
      <c r="D32" s="1"/>
      <c r="E32" s="1"/>
      <c r="F32" s="1" t="s">
        <v>64</v>
      </c>
      <c r="G32" s="86"/>
      <c r="H32" s="86"/>
      <c r="I32" s="86"/>
    </row>
    <row r="33" spans="1:9" ht="12.75">
      <c r="A33" s="261" t="s">
        <v>218</v>
      </c>
      <c r="B33" s="1">
        <v>0.25</v>
      </c>
      <c r="C33" s="1"/>
      <c r="D33" s="200"/>
      <c r="E33" s="1"/>
      <c r="F33" s="5">
        <f>B33*3.3+C33*5+D33*12+E33*12</f>
        <v>0.825</v>
      </c>
      <c r="G33" s="86"/>
      <c r="H33" s="86"/>
      <c r="I33" s="86"/>
    </row>
    <row r="34" spans="6:9" ht="12.75">
      <c r="F34" s="1"/>
      <c r="H34" s="86"/>
      <c r="I34" s="86"/>
    </row>
    <row r="42" ht="12.75">
      <c r="A42" s="84"/>
    </row>
    <row r="44" ht="12.75">
      <c r="A44" s="84"/>
    </row>
    <row r="47" ht="12.75">
      <c r="A47" s="84"/>
    </row>
    <row r="49" ht="12.75">
      <c r="A49" s="84"/>
    </row>
  </sheetData>
  <sheetProtection password="DBB7" sheet="1" objects="1" scenarios="1"/>
  <printOptions/>
  <pageMargins left="0.75" right="0.75" top="1" bottom="1" header="0.5" footer="0.5"/>
  <pageSetup horizontalDpi="600" verticalDpi="600" orientation="portrait" r:id="rId2"/>
  <legacyDrawing r:id="rId1"/>
</worksheet>
</file>

<file path=xl/worksheets/sheet11.xml><?xml version="1.0" encoding="utf-8"?>
<worksheet xmlns="http://schemas.openxmlformats.org/spreadsheetml/2006/main" xmlns:r="http://schemas.openxmlformats.org/officeDocument/2006/relationships">
  <sheetPr codeName="Sheet8"/>
  <dimension ref="A1:H7"/>
  <sheetViews>
    <sheetView showGridLines="0" showRowColHeaders="0" zoomScale="85" zoomScaleNormal="85" zoomScalePageLayoutView="0" workbookViewId="0" topLeftCell="A1">
      <selection activeCell="A5" sqref="A5"/>
    </sheetView>
  </sheetViews>
  <sheetFormatPr defaultColWidth="8.8515625" defaultRowHeight="12.75"/>
  <cols>
    <col min="1" max="1" width="42.7109375" style="6" customWidth="1"/>
    <col min="2" max="3" width="8.8515625" style="6" customWidth="1"/>
    <col min="4" max="4" width="8.8515625" style="74" customWidth="1"/>
    <col min="5" max="5" width="8.8515625" style="6" hidden="1" customWidth="1"/>
    <col min="6" max="9" width="8.8515625" style="6" customWidth="1"/>
    <col min="10" max="10" width="12.00390625" style="6" customWidth="1"/>
    <col min="11" max="16384" width="8.8515625" style="6" customWidth="1"/>
  </cols>
  <sheetData>
    <row r="1" spans="1:7" ht="13.5" thickBot="1">
      <c r="A1" s="17" t="s">
        <v>139</v>
      </c>
      <c r="B1" s="15" t="s">
        <v>140</v>
      </c>
      <c r="C1" s="15" t="s">
        <v>141</v>
      </c>
      <c r="D1" s="15" t="s">
        <v>182</v>
      </c>
      <c r="E1" s="15" t="s">
        <v>142</v>
      </c>
      <c r="F1" s="18" t="s">
        <v>143</v>
      </c>
      <c r="G1" s="15" t="s">
        <v>32</v>
      </c>
    </row>
    <row r="2" spans="1:7" ht="12.75">
      <c r="A2" s="1" t="s">
        <v>144</v>
      </c>
      <c r="B2" s="1">
        <v>0</v>
      </c>
      <c r="C2" s="1">
        <v>0</v>
      </c>
      <c r="D2" s="1">
        <v>0</v>
      </c>
      <c r="E2" s="1">
        <v>0</v>
      </c>
      <c r="F2" s="1">
        <v>0</v>
      </c>
      <c r="G2" s="1">
        <f>E2*(-12)+D2*12+C2*5+B2*3.3</f>
        <v>0</v>
      </c>
    </row>
    <row r="3" spans="1:7" ht="12.75">
      <c r="A3" s="1" t="s">
        <v>160</v>
      </c>
      <c r="B3" s="1">
        <v>0.2</v>
      </c>
      <c r="C3" s="1">
        <v>0.2</v>
      </c>
      <c r="D3" s="1">
        <v>0.2</v>
      </c>
      <c r="E3" s="1"/>
      <c r="F3" s="1">
        <v>1</v>
      </c>
      <c r="G3" s="1">
        <f>F3*5+E3*(12)+D3*12+C3*5+B3*3.3</f>
        <v>9.06</v>
      </c>
    </row>
    <row r="4" spans="1:8" ht="12.75">
      <c r="A4" s="141" t="s">
        <v>215</v>
      </c>
      <c r="B4" s="141">
        <v>1</v>
      </c>
      <c r="C4" s="141">
        <v>1</v>
      </c>
      <c r="D4" s="141">
        <v>1</v>
      </c>
      <c r="E4" s="1"/>
      <c r="F4" s="141">
        <v>1</v>
      </c>
      <c r="G4" s="1">
        <f>B4*3.3+C4*5+D4*12+E4*12+F4*5</f>
        <v>25.3</v>
      </c>
      <c r="H4" s="16" t="s">
        <v>60</v>
      </c>
    </row>
    <row r="5" spans="1:8" ht="12.75">
      <c r="A5" s="141" t="s">
        <v>19</v>
      </c>
      <c r="B5" s="141"/>
      <c r="C5" s="141"/>
      <c r="D5" s="141"/>
      <c r="E5" s="1"/>
      <c r="F5" s="141"/>
      <c r="G5" s="1">
        <f>B5*3.3+C5*5+D5*12+E5*12+F5*5</f>
        <v>0</v>
      </c>
      <c r="H5" s="16" t="s">
        <v>60</v>
      </c>
    </row>
    <row r="6" spans="1:8" ht="12.75">
      <c r="A6" s="141" t="s">
        <v>19</v>
      </c>
      <c r="B6" s="141"/>
      <c r="C6" s="141"/>
      <c r="D6" s="141"/>
      <c r="E6" s="1"/>
      <c r="F6" s="141"/>
      <c r="G6" s="1">
        <f>B6*3.3+C6*5+D6*12+E6*12+F6*5</f>
        <v>0</v>
      </c>
      <c r="H6" s="16" t="s">
        <v>60</v>
      </c>
    </row>
    <row r="7" spans="1:7" ht="12.75">
      <c r="A7" s="141"/>
      <c r="B7" s="141"/>
      <c r="C7" s="141"/>
      <c r="D7" s="141"/>
      <c r="E7" s="141"/>
      <c r="F7" s="141"/>
      <c r="G7" s="1">
        <f>F7*5+E7*(12)+D7*12+C7*5+B7*3.3</f>
        <v>0</v>
      </c>
    </row>
  </sheetData>
  <sheetProtection password="DBB7" sheet="1" objects="1" scenarios="1"/>
  <printOptions/>
  <pageMargins left="0.75" right="0.75" top="1" bottom="1" header="0.5" footer="0.5"/>
  <pageSetup horizontalDpi="600" verticalDpi="600" orientation="portrait" r:id="rId2"/>
  <legacyDrawing r:id="rId1"/>
</worksheet>
</file>

<file path=xl/worksheets/sheet12.xml><?xml version="1.0" encoding="utf-8"?>
<worksheet xmlns="http://schemas.openxmlformats.org/spreadsheetml/2006/main" xmlns:r="http://schemas.openxmlformats.org/officeDocument/2006/relationships">
  <sheetPr codeName="Sheet5"/>
  <dimension ref="A1:I26"/>
  <sheetViews>
    <sheetView showRowColHeaders="0" zoomScale="85" zoomScaleNormal="85" zoomScalePageLayoutView="0" workbookViewId="0" topLeftCell="A1">
      <selection activeCell="A2" sqref="A2"/>
    </sheetView>
  </sheetViews>
  <sheetFormatPr defaultColWidth="8.8515625" defaultRowHeight="12.75"/>
  <cols>
    <col min="1" max="1" width="36.8515625" style="6" customWidth="1"/>
    <col min="2" max="4" width="8.8515625" style="6" customWidth="1"/>
    <col min="5" max="5" width="8.8515625" style="6" hidden="1" customWidth="1"/>
    <col min="6" max="6" width="8.8515625" style="6" customWidth="1"/>
    <col min="7" max="7" width="26.57421875" style="6" customWidth="1"/>
    <col min="8" max="16384" width="8.8515625" style="6" customWidth="1"/>
  </cols>
  <sheetData>
    <row r="1" spans="1:6" ht="24">
      <c r="A1" s="22" t="s">
        <v>7</v>
      </c>
      <c r="B1" s="23" t="s">
        <v>8</v>
      </c>
      <c r="C1" s="23" t="s">
        <v>9</v>
      </c>
      <c r="D1" s="23" t="s">
        <v>10</v>
      </c>
      <c r="E1" s="193" t="s">
        <v>107</v>
      </c>
      <c r="F1" s="24" t="s">
        <v>40</v>
      </c>
    </row>
    <row r="2" spans="1:6" ht="12.75">
      <c r="A2" s="116" t="s">
        <v>12</v>
      </c>
      <c r="B2" s="116"/>
      <c r="C2" s="116"/>
      <c r="D2" s="116"/>
      <c r="E2" s="116"/>
      <c r="F2" s="116">
        <f>C2*5+D2*12</f>
        <v>0</v>
      </c>
    </row>
    <row r="3" spans="1:9" ht="12.75">
      <c r="A3" s="274" t="s">
        <v>113</v>
      </c>
      <c r="B3" s="116"/>
      <c r="C3" s="199">
        <v>1</v>
      </c>
      <c r="D3" s="199">
        <v>0</v>
      </c>
      <c r="E3" s="116"/>
      <c r="F3" s="116">
        <f>C3*5+D3*12</f>
        <v>5</v>
      </c>
      <c r="H3" s="85"/>
      <c r="I3" s="85"/>
    </row>
    <row r="4" spans="1:9" ht="12.75">
      <c r="A4" s="274" t="s">
        <v>110</v>
      </c>
      <c r="B4" s="116"/>
      <c r="C4" s="116">
        <v>0.81</v>
      </c>
      <c r="D4" s="116">
        <v>0.41</v>
      </c>
      <c r="E4" s="116"/>
      <c r="F4" s="116">
        <f>C4*5+D4*12</f>
        <v>8.97</v>
      </c>
      <c r="H4" s="85"/>
      <c r="I4" s="85"/>
    </row>
    <row r="5" spans="1:9" ht="12.75">
      <c r="A5" s="274" t="s">
        <v>169</v>
      </c>
      <c r="B5" s="116"/>
      <c r="C5" s="116">
        <v>0.5</v>
      </c>
      <c r="D5" s="116">
        <v>0.8</v>
      </c>
      <c r="E5" s="116">
        <v>0.8</v>
      </c>
      <c r="F5" s="116">
        <f aca="true" t="shared" si="0" ref="F5:F14">C5*5+D5*12</f>
        <v>12.100000000000001</v>
      </c>
      <c r="G5" s="86"/>
      <c r="H5" s="85"/>
      <c r="I5" s="85"/>
    </row>
    <row r="6" spans="1:9" ht="12.75">
      <c r="A6" s="274" t="s">
        <v>170</v>
      </c>
      <c r="B6" s="116"/>
      <c r="C6" s="116">
        <v>0.8</v>
      </c>
      <c r="D6" s="116">
        <v>0.92</v>
      </c>
      <c r="E6" s="116">
        <v>0.92</v>
      </c>
      <c r="F6" s="116">
        <f t="shared" si="0"/>
        <v>15.040000000000001</v>
      </c>
      <c r="G6" s="86"/>
      <c r="H6" s="85"/>
      <c r="I6" s="85"/>
    </row>
    <row r="7" spans="1:9" ht="12.75">
      <c r="A7" s="274" t="s">
        <v>171</v>
      </c>
      <c r="B7" s="116"/>
      <c r="C7" s="116">
        <v>0.95</v>
      </c>
      <c r="D7" s="116">
        <v>1.1</v>
      </c>
      <c r="E7" s="116">
        <v>1.1</v>
      </c>
      <c r="F7" s="116">
        <f t="shared" si="0"/>
        <v>17.950000000000003</v>
      </c>
      <c r="G7" s="86"/>
      <c r="H7" s="85"/>
      <c r="I7" s="85"/>
    </row>
    <row r="8" spans="1:9" ht="12.75">
      <c r="A8" s="274" t="s">
        <v>166</v>
      </c>
      <c r="B8" s="116"/>
      <c r="C8" s="116">
        <v>0.48</v>
      </c>
      <c r="D8" s="116">
        <v>0</v>
      </c>
      <c r="E8" s="116"/>
      <c r="F8" s="116">
        <f t="shared" si="0"/>
        <v>2.4</v>
      </c>
      <c r="G8" s="86"/>
      <c r="H8" s="85"/>
      <c r="I8" s="85"/>
    </row>
    <row r="9" spans="1:9" ht="12.75">
      <c r="A9" s="274" t="s">
        <v>167</v>
      </c>
      <c r="B9" s="116"/>
      <c r="C9" s="116">
        <v>0.52</v>
      </c>
      <c r="D9" s="116">
        <v>0</v>
      </c>
      <c r="E9" s="116"/>
      <c r="F9" s="116">
        <f t="shared" si="0"/>
        <v>2.6</v>
      </c>
      <c r="G9" s="86"/>
      <c r="H9" s="85"/>
      <c r="I9" s="85"/>
    </row>
    <row r="10" spans="1:9" ht="12.75">
      <c r="A10" s="144" t="s">
        <v>214</v>
      </c>
      <c r="B10" s="144"/>
      <c r="C10" s="144">
        <v>1</v>
      </c>
      <c r="D10" s="144">
        <v>1</v>
      </c>
      <c r="E10" s="116"/>
      <c r="F10" s="116">
        <f t="shared" si="0"/>
        <v>17</v>
      </c>
      <c r="G10" s="16" t="s">
        <v>61</v>
      </c>
      <c r="H10" s="85"/>
      <c r="I10" s="85"/>
    </row>
    <row r="11" spans="1:9" ht="12.75">
      <c r="A11" s="144" t="s">
        <v>19</v>
      </c>
      <c r="B11" s="144"/>
      <c r="C11" s="144"/>
      <c r="D11" s="144"/>
      <c r="E11" s="116"/>
      <c r="F11" s="116">
        <f t="shared" si="0"/>
        <v>0</v>
      </c>
      <c r="G11" s="16" t="s">
        <v>61</v>
      </c>
      <c r="H11" s="85"/>
      <c r="I11" s="85"/>
    </row>
    <row r="12" spans="1:9" ht="12.75">
      <c r="A12" s="144" t="s">
        <v>19</v>
      </c>
      <c r="B12" s="144"/>
      <c r="C12" s="144"/>
      <c r="D12" s="144"/>
      <c r="E12" s="116"/>
      <c r="F12" s="116">
        <f t="shared" si="0"/>
        <v>0</v>
      </c>
      <c r="G12" s="16" t="s">
        <v>61</v>
      </c>
      <c r="H12" s="85"/>
      <c r="I12" s="85"/>
    </row>
    <row r="13" spans="1:9" ht="12.75">
      <c r="A13" s="144" t="s">
        <v>19</v>
      </c>
      <c r="B13" s="144"/>
      <c r="C13" s="144"/>
      <c r="D13" s="144"/>
      <c r="E13" s="116"/>
      <c r="F13" s="116">
        <f t="shared" si="0"/>
        <v>0</v>
      </c>
      <c r="G13" s="16" t="s">
        <v>61</v>
      </c>
      <c r="H13" s="85"/>
      <c r="I13" s="85"/>
    </row>
    <row r="14" spans="1:9" ht="12.75">
      <c r="A14" s="144" t="s">
        <v>19</v>
      </c>
      <c r="B14" s="144"/>
      <c r="C14" s="144"/>
      <c r="D14" s="144"/>
      <c r="E14" s="116"/>
      <c r="F14" s="116">
        <f t="shared" si="0"/>
        <v>0</v>
      </c>
      <c r="G14" s="16" t="s">
        <v>61</v>
      </c>
      <c r="H14" s="85"/>
      <c r="I14" s="85"/>
    </row>
    <row r="15" spans="1:6" ht="12.75">
      <c r="A15" s="30"/>
      <c r="B15" s="30"/>
      <c r="C15" s="30"/>
      <c r="D15" s="30"/>
      <c r="E15" s="30"/>
      <c r="F15" s="30"/>
    </row>
    <row r="17" spans="1:7" ht="12.75">
      <c r="A17" s="86"/>
      <c r="B17" s="86"/>
      <c r="C17" s="86"/>
      <c r="D17" s="86"/>
      <c r="E17" s="86"/>
      <c r="F17" s="86"/>
      <c r="G17" s="86"/>
    </row>
    <row r="18" spans="1:7" ht="12.75">
      <c r="A18" s="263"/>
      <c r="B18" s="263"/>
      <c r="C18" s="263"/>
      <c r="D18" s="263"/>
      <c r="E18" s="263"/>
      <c r="F18" s="263"/>
      <c r="G18" s="86"/>
    </row>
    <row r="19" spans="1:7" ht="12.75">
      <c r="A19" s="86"/>
      <c r="B19" s="86"/>
      <c r="C19" s="86"/>
      <c r="D19" s="86"/>
      <c r="E19" s="86"/>
      <c r="F19" s="86"/>
      <c r="G19" s="86"/>
    </row>
    <row r="20" spans="1:7" ht="12.75">
      <c r="A20" s="86"/>
      <c r="B20" s="86"/>
      <c r="C20" s="86"/>
      <c r="D20" s="86"/>
      <c r="E20" s="86"/>
      <c r="F20" s="86"/>
      <c r="G20" s="86"/>
    </row>
    <row r="21" spans="1:7" ht="12.75">
      <c r="A21" s="86"/>
      <c r="B21" s="86"/>
      <c r="C21" s="86"/>
      <c r="D21" s="86"/>
      <c r="E21" s="86"/>
      <c r="F21" s="86"/>
      <c r="G21" s="86"/>
    </row>
    <row r="22" spans="1:7" ht="12.75">
      <c r="A22" s="263"/>
      <c r="B22" s="263"/>
      <c r="C22" s="263"/>
      <c r="D22" s="263"/>
      <c r="E22" s="263"/>
      <c r="F22" s="263"/>
      <c r="G22" s="86"/>
    </row>
    <row r="23" spans="1:7" ht="12.75">
      <c r="A23" s="263"/>
      <c r="B23" s="263"/>
      <c r="C23" s="263"/>
      <c r="D23" s="263"/>
      <c r="E23" s="263"/>
      <c r="F23" s="263"/>
      <c r="G23" s="86"/>
    </row>
    <row r="24" spans="1:7" ht="12.75">
      <c r="A24" s="264"/>
      <c r="B24" s="86"/>
      <c r="C24" s="86"/>
      <c r="D24" s="86"/>
      <c r="E24" s="86"/>
      <c r="F24" s="86"/>
      <c r="G24" s="86"/>
    </row>
    <row r="25" spans="1:7" ht="12.75">
      <c r="A25" s="86"/>
      <c r="B25" s="86"/>
      <c r="C25" s="86"/>
      <c r="D25" s="86"/>
      <c r="E25" s="86"/>
      <c r="F25" s="86"/>
      <c r="G25" s="86"/>
    </row>
    <row r="26" spans="1:7" ht="12.75">
      <c r="A26" s="86"/>
      <c r="B26" s="86"/>
      <c r="C26" s="86"/>
      <c r="D26" s="86"/>
      <c r="E26" s="86"/>
      <c r="F26" s="86"/>
      <c r="G26" s="86"/>
    </row>
  </sheetData>
  <sheetProtection password="DBB7" sheet="1" objects="1" scenarios="1"/>
  <printOptions/>
  <pageMargins left="0.75" right="0.75" top="1" bottom="1" header="0.5" footer="0.5"/>
  <pageSetup horizontalDpi="600" verticalDpi="600" orientation="portrait" r:id="rId2"/>
  <legacyDrawing r:id="rId1"/>
</worksheet>
</file>

<file path=xl/worksheets/sheet13.xml><?xml version="1.0" encoding="utf-8"?>
<worksheet xmlns="http://schemas.openxmlformats.org/spreadsheetml/2006/main" xmlns:r="http://schemas.openxmlformats.org/officeDocument/2006/relationships">
  <sheetPr codeName="Sheet6"/>
  <dimension ref="A1:H29"/>
  <sheetViews>
    <sheetView showRowColHeaders="0" zoomScale="85" zoomScaleNormal="85" zoomScalePageLayoutView="0" workbookViewId="0" topLeftCell="A1">
      <selection activeCell="P69" sqref="P69"/>
    </sheetView>
  </sheetViews>
  <sheetFormatPr defaultColWidth="8.8515625" defaultRowHeight="12.75"/>
  <cols>
    <col min="1" max="1" width="39.8515625" style="6" customWidth="1"/>
    <col min="2" max="4" width="8.8515625" style="6" customWidth="1"/>
    <col min="5" max="5" width="8.8515625" style="6" hidden="1" customWidth="1"/>
    <col min="6" max="7" width="8.8515625" style="6" customWidth="1"/>
    <col min="8" max="8" width="33.421875" style="6" bestFit="1" customWidth="1"/>
    <col min="9" max="16384" width="8.8515625" style="6" customWidth="1"/>
  </cols>
  <sheetData>
    <row r="1" spans="1:7" ht="24.75" thickBot="1">
      <c r="A1" s="17" t="s">
        <v>6</v>
      </c>
      <c r="B1" s="25" t="s">
        <v>8</v>
      </c>
      <c r="C1" s="25" t="s">
        <v>9</v>
      </c>
      <c r="D1" s="25" t="s">
        <v>10</v>
      </c>
      <c r="E1" s="194" t="s">
        <v>109</v>
      </c>
      <c r="F1" s="25" t="s">
        <v>108</v>
      </c>
      <c r="G1" s="25" t="s">
        <v>40</v>
      </c>
    </row>
    <row r="2" spans="1:7" ht="12.75">
      <c r="A2" s="250" t="s">
        <v>120</v>
      </c>
      <c r="B2" s="251"/>
      <c r="C2" s="251"/>
      <c r="D2" s="251"/>
      <c r="E2" s="252"/>
      <c r="F2" s="251"/>
      <c r="G2" s="251"/>
    </row>
    <row r="3" spans="1:7" ht="12.75">
      <c r="A3" s="1" t="s">
        <v>12</v>
      </c>
      <c r="B3" s="1"/>
      <c r="C3" s="1"/>
      <c r="D3" s="1"/>
      <c r="E3" s="1"/>
      <c r="F3" s="1"/>
      <c r="G3" s="1"/>
    </row>
    <row r="4" spans="1:7" ht="12.75">
      <c r="A4" s="203" t="s">
        <v>172</v>
      </c>
      <c r="B4" s="203"/>
      <c r="C4" s="203">
        <f>0.95+0.08</f>
        <v>1.03</v>
      </c>
      <c r="D4" s="203"/>
      <c r="E4" s="203"/>
      <c r="F4" s="203"/>
      <c r="G4" s="203">
        <f aca="true" t="shared" si="0" ref="G4:G9">B4*3.3+C4*5+D4*12+E4*12+F4*5</f>
        <v>5.15</v>
      </c>
    </row>
    <row r="5" spans="1:8" ht="12.75">
      <c r="A5" s="141" t="s">
        <v>216</v>
      </c>
      <c r="B5" s="141"/>
      <c r="C5" s="141">
        <v>0.6</v>
      </c>
      <c r="D5" s="141"/>
      <c r="E5" s="1"/>
      <c r="F5" s="141"/>
      <c r="G5" s="1">
        <f t="shared" si="0"/>
        <v>3</v>
      </c>
      <c r="H5" s="16" t="s">
        <v>60</v>
      </c>
    </row>
    <row r="6" spans="1:8" ht="12.75">
      <c r="A6" s="141" t="s">
        <v>19</v>
      </c>
      <c r="B6" s="141"/>
      <c r="C6" s="141"/>
      <c r="D6" s="141"/>
      <c r="E6" s="1"/>
      <c r="F6" s="141"/>
      <c r="G6" s="1">
        <f t="shared" si="0"/>
        <v>0</v>
      </c>
      <c r="H6" s="16" t="s">
        <v>60</v>
      </c>
    </row>
    <row r="7" spans="1:8" ht="12.75">
      <c r="A7" s="141" t="s">
        <v>19</v>
      </c>
      <c r="B7" s="141"/>
      <c r="C7" s="141"/>
      <c r="D7" s="141"/>
      <c r="E7" s="1"/>
      <c r="F7" s="141"/>
      <c r="G7" s="1">
        <f t="shared" si="0"/>
        <v>0</v>
      </c>
      <c r="H7" s="16" t="s">
        <v>60</v>
      </c>
    </row>
    <row r="8" spans="1:8" ht="12.75">
      <c r="A8" s="141" t="s">
        <v>19</v>
      </c>
      <c r="B8" s="141"/>
      <c r="C8" s="141"/>
      <c r="D8" s="141"/>
      <c r="E8" s="1"/>
      <c r="F8" s="141"/>
      <c r="G8" s="1">
        <f t="shared" si="0"/>
        <v>0</v>
      </c>
      <c r="H8" s="16" t="s">
        <v>60</v>
      </c>
    </row>
    <row r="9" spans="1:8" ht="12.75">
      <c r="A9" s="141" t="s">
        <v>19</v>
      </c>
      <c r="B9" s="141"/>
      <c r="C9" s="141"/>
      <c r="D9" s="141"/>
      <c r="E9" s="1"/>
      <c r="F9" s="141"/>
      <c r="G9" s="1">
        <f t="shared" si="0"/>
        <v>0</v>
      </c>
      <c r="H9" s="16" t="s">
        <v>60</v>
      </c>
    </row>
    <row r="10" spans="1:7" ht="12.75">
      <c r="A10" s="265" t="s">
        <v>137</v>
      </c>
      <c r="B10" s="262"/>
      <c r="C10" s="262"/>
      <c r="D10" s="262"/>
      <c r="E10" s="262"/>
      <c r="F10" s="262"/>
      <c r="G10" s="262"/>
    </row>
    <row r="11" spans="1:7" ht="12.75">
      <c r="A11" s="266" t="s">
        <v>12</v>
      </c>
      <c r="B11" s="262"/>
      <c r="C11" s="262"/>
      <c r="D11" s="262"/>
      <c r="E11" s="262"/>
      <c r="F11" s="262"/>
      <c r="G11" s="262"/>
    </row>
    <row r="12" spans="1:7" ht="12.75">
      <c r="A12" s="266" t="s">
        <v>34</v>
      </c>
      <c r="B12" s="262"/>
      <c r="C12" s="262">
        <v>0.77</v>
      </c>
      <c r="D12" s="262"/>
      <c r="E12" s="262">
        <v>0.4</v>
      </c>
      <c r="F12" s="262"/>
      <c r="G12" s="262">
        <f aca="true" t="shared" si="1" ref="G12:G18">B12*3.3+C12*5+D12*12+E12*12+F12*5</f>
        <v>8.65</v>
      </c>
    </row>
    <row r="13" spans="1:8" ht="12.75">
      <c r="A13" s="266" t="s">
        <v>136</v>
      </c>
      <c r="B13" s="262"/>
      <c r="C13" s="262">
        <v>0.5</v>
      </c>
      <c r="D13" s="262"/>
      <c r="E13" s="262"/>
      <c r="F13" s="262"/>
      <c r="G13" s="262">
        <f t="shared" si="1"/>
        <v>2.5</v>
      </c>
      <c r="H13" s="16"/>
    </row>
    <row r="14" spans="1:8" ht="12.75">
      <c r="A14" s="141" t="s">
        <v>217</v>
      </c>
      <c r="B14" s="141"/>
      <c r="C14" s="141">
        <v>0.2</v>
      </c>
      <c r="D14" s="141"/>
      <c r="E14" s="1"/>
      <c r="F14" s="141"/>
      <c r="G14" s="1">
        <f t="shared" si="1"/>
        <v>1</v>
      </c>
      <c r="H14" s="16" t="s">
        <v>60</v>
      </c>
    </row>
    <row r="15" spans="1:8" ht="12.75">
      <c r="A15" s="141" t="s">
        <v>19</v>
      </c>
      <c r="B15" s="141"/>
      <c r="C15" s="141"/>
      <c r="D15" s="141"/>
      <c r="E15" s="1"/>
      <c r="F15" s="141"/>
      <c r="G15" s="1">
        <f t="shared" si="1"/>
        <v>0</v>
      </c>
      <c r="H15" s="16" t="s">
        <v>60</v>
      </c>
    </row>
    <row r="16" spans="1:8" ht="12.75">
      <c r="A16" s="141" t="s">
        <v>19</v>
      </c>
      <c r="B16" s="141"/>
      <c r="C16" s="141"/>
      <c r="D16" s="141"/>
      <c r="E16" s="1"/>
      <c r="F16" s="141"/>
      <c r="G16" s="1">
        <f t="shared" si="1"/>
        <v>0</v>
      </c>
      <c r="H16" s="16" t="s">
        <v>60</v>
      </c>
    </row>
    <row r="17" spans="1:8" ht="12.75">
      <c r="A17" s="141" t="s">
        <v>19</v>
      </c>
      <c r="B17" s="141"/>
      <c r="C17" s="141"/>
      <c r="D17" s="141"/>
      <c r="E17" s="1"/>
      <c r="F17" s="141"/>
      <c r="G17" s="1">
        <f t="shared" si="1"/>
        <v>0</v>
      </c>
      <c r="H17" s="16" t="s">
        <v>60</v>
      </c>
    </row>
    <row r="18" spans="1:8" ht="12.75">
      <c r="A18" s="141" t="s">
        <v>19</v>
      </c>
      <c r="B18" s="141"/>
      <c r="C18" s="141"/>
      <c r="D18" s="141"/>
      <c r="E18" s="1"/>
      <c r="F18" s="141"/>
      <c r="G18" s="1">
        <f t="shared" si="1"/>
        <v>0</v>
      </c>
      <c r="H18" s="16" t="s">
        <v>60</v>
      </c>
    </row>
    <row r="19" spans="1:8" ht="12.75">
      <c r="A19" s="141"/>
      <c r="B19" s="141"/>
      <c r="C19" s="141"/>
      <c r="D19" s="141"/>
      <c r="E19" s="1"/>
      <c r="F19" s="141"/>
      <c r="G19" s="1"/>
      <c r="H19" s="16"/>
    </row>
    <row r="20" spans="1:7" ht="12.75">
      <c r="A20" s="2"/>
      <c r="B20" s="2"/>
      <c r="C20" s="2"/>
      <c r="D20" s="2"/>
      <c r="E20" s="2"/>
      <c r="F20" s="2"/>
      <c r="G20" s="2"/>
    </row>
    <row r="24" ht="12.75">
      <c r="A24" s="84"/>
    </row>
    <row r="25" ht="12.75">
      <c r="A25" s="84"/>
    </row>
    <row r="29" ht="12.75">
      <c r="A29" s="84"/>
    </row>
  </sheetData>
  <sheetProtection password="DBB7" sheet="1" objects="1" scenarios="1"/>
  <printOptions/>
  <pageMargins left="0.75" right="0.75" top="1" bottom="1" header="0.5" footer="0.5"/>
  <pageSetup horizontalDpi="600" verticalDpi="600" orientation="portrait" r:id="rId2"/>
  <legacyDrawing r:id="rId1"/>
</worksheet>
</file>

<file path=xl/worksheets/sheet14.xml><?xml version="1.0" encoding="utf-8"?>
<worksheet xmlns="http://schemas.openxmlformats.org/spreadsheetml/2006/main" xmlns:r="http://schemas.openxmlformats.org/officeDocument/2006/relationships">
  <sheetPr codeName="Sheet10"/>
  <dimension ref="A1:D20"/>
  <sheetViews>
    <sheetView showRowColHeaders="0" zoomScalePageLayoutView="0" workbookViewId="0" topLeftCell="A1">
      <selection activeCell="A7" sqref="A7"/>
    </sheetView>
  </sheetViews>
  <sheetFormatPr defaultColWidth="9.140625" defaultRowHeight="12.75"/>
  <cols>
    <col min="1" max="1" width="10.140625" style="3" bestFit="1" customWidth="1"/>
    <col min="2" max="2" width="9.140625" style="3" customWidth="1"/>
    <col min="3" max="3" width="55.8515625" style="132" customWidth="1"/>
  </cols>
  <sheetData>
    <row r="1" spans="1:4" ht="12.75">
      <c r="A1" s="257">
        <f>MAX(A4:A27)</f>
        <v>39944</v>
      </c>
      <c r="B1" s="120">
        <f>MAX(B4:B27)</f>
        <v>1.2</v>
      </c>
      <c r="D1" s="255" t="s">
        <v>73</v>
      </c>
    </row>
    <row r="3" spans="1:4" ht="12.75">
      <c r="A3" s="118" t="s">
        <v>68</v>
      </c>
      <c r="B3" s="118" t="s">
        <v>69</v>
      </c>
      <c r="C3" s="133" t="s">
        <v>70</v>
      </c>
      <c r="D3" s="117" t="s">
        <v>71</v>
      </c>
    </row>
    <row r="4" spans="1:4" ht="12.75">
      <c r="A4" s="119">
        <v>39850</v>
      </c>
      <c r="B4" s="120">
        <v>1</v>
      </c>
      <c r="C4" s="132" t="s">
        <v>131</v>
      </c>
      <c r="D4" t="s">
        <v>130</v>
      </c>
    </row>
    <row r="5" spans="1:4" ht="12.75">
      <c r="A5" s="119">
        <v>39867</v>
      </c>
      <c r="B5" s="120">
        <v>1.1</v>
      </c>
      <c r="C5" s="132" t="s">
        <v>201</v>
      </c>
      <c r="D5" t="s">
        <v>130</v>
      </c>
    </row>
    <row r="6" spans="1:4" ht="12.75">
      <c r="A6" s="119">
        <v>39944</v>
      </c>
      <c r="B6" s="120">
        <v>1.2</v>
      </c>
      <c r="C6" s="132" t="s">
        <v>219</v>
      </c>
      <c r="D6" t="s">
        <v>130</v>
      </c>
    </row>
    <row r="7" spans="1:2" ht="12.75">
      <c r="A7" s="119"/>
      <c r="B7" s="120"/>
    </row>
    <row r="8" spans="1:3" ht="12.75">
      <c r="A8" s="119"/>
      <c r="B8" s="120"/>
      <c r="C8" s="126"/>
    </row>
    <row r="9" spans="1:3" ht="12.75">
      <c r="A9" s="119"/>
      <c r="B9" s="120"/>
      <c r="C9" s="126"/>
    </row>
    <row r="10" spans="1:3" ht="12.75">
      <c r="A10" s="119"/>
      <c r="B10" s="120"/>
      <c r="C10" s="126"/>
    </row>
    <row r="11" spans="1:3" ht="12.75">
      <c r="A11" s="119"/>
      <c r="B11" s="120"/>
      <c r="C11" s="126"/>
    </row>
    <row r="12" spans="1:3" ht="12.75">
      <c r="A12" s="119"/>
      <c r="B12" s="120"/>
      <c r="C12" s="126"/>
    </row>
    <row r="13" spans="2:3" ht="12.75">
      <c r="B13" s="120"/>
      <c r="C13" s="126"/>
    </row>
    <row r="14" spans="2:3" ht="12.75">
      <c r="B14" s="120"/>
      <c r="C14" s="126"/>
    </row>
    <row r="15" spans="2:3" ht="12.75">
      <c r="B15" s="120"/>
      <c r="C15" s="126"/>
    </row>
    <row r="16" spans="2:3" ht="12.75">
      <c r="B16" s="120"/>
      <c r="C16" s="126"/>
    </row>
    <row r="17" spans="2:3" ht="12.75">
      <c r="B17" s="120"/>
      <c r="C17" s="126"/>
    </row>
    <row r="18" spans="2:3" ht="12.75">
      <c r="B18" s="120"/>
      <c r="C18" s="126"/>
    </row>
    <row r="19" ht="12.75">
      <c r="C19" s="126"/>
    </row>
    <row r="20" ht="12.75">
      <c r="C20" s="126"/>
    </row>
  </sheetData>
  <sheetProtection password="DBB7"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C40"/>
  <sheetViews>
    <sheetView showGridLines="0" showRowColHeaders="0" zoomScalePageLayoutView="0" workbookViewId="0" topLeftCell="A1">
      <pane ySplit="2" topLeftCell="A30" activePane="bottomLeft" state="frozen"/>
      <selection pane="topLeft" activeCell="A27" sqref="A27"/>
      <selection pane="bottomLeft" activeCell="E33" sqref="E33"/>
    </sheetView>
  </sheetViews>
  <sheetFormatPr defaultColWidth="9.140625" defaultRowHeight="12.75"/>
  <cols>
    <col min="1" max="1" width="85.28125" style="0" customWidth="1"/>
  </cols>
  <sheetData>
    <row r="1" ht="36.75" customHeight="1">
      <c r="A1" s="26" t="s">
        <v>25</v>
      </c>
    </row>
    <row r="2" s="4" customFormat="1" ht="13.5" thickBot="1"/>
    <row r="8" ht="12.75">
      <c r="C8" s="3"/>
    </row>
    <row r="40" ht="12.75">
      <c r="A40" s="3" t="s">
        <v>52</v>
      </c>
    </row>
  </sheetData>
  <sheetProtection password="DBB7" sheet="1" objects="1" scenarios="1"/>
  <printOptions/>
  <pageMargins left="0.75" right="0.75" top="1" bottom="1" header="0.5" footer="0.5"/>
  <pageSetup fitToHeight="1" fitToWidth="1" horizontalDpi="600" verticalDpi="600" orientation="portrait" r:id="rId3"/>
  <legacyDrawing r:id="rId2"/>
  <oleObjects>
    <oleObject progId="Word.Document.8" shapeId="30738992" r:id="rId1"/>
  </oleObjects>
</worksheet>
</file>

<file path=xl/worksheets/sheet3.xml><?xml version="1.0" encoding="utf-8"?>
<worksheet xmlns="http://schemas.openxmlformats.org/spreadsheetml/2006/main" xmlns:r="http://schemas.openxmlformats.org/officeDocument/2006/relationships">
  <sheetPr codeName="Sheet3"/>
  <dimension ref="A1:Q35"/>
  <sheetViews>
    <sheetView showGridLines="0" showRowColHeaders="0" zoomScale="85" zoomScaleNormal="85" zoomScalePageLayoutView="0" workbookViewId="0" topLeftCell="A1">
      <selection activeCell="J18" sqref="J18"/>
    </sheetView>
  </sheetViews>
  <sheetFormatPr defaultColWidth="8.8515625" defaultRowHeight="12.75"/>
  <cols>
    <col min="1" max="1" width="36.00390625" style="6" customWidth="1"/>
    <col min="2" max="3" width="8.7109375" style="6" hidden="1" customWidth="1"/>
    <col min="4" max="4" width="14.7109375" style="6" customWidth="1"/>
    <col min="5" max="5" width="15.7109375" style="6" customWidth="1"/>
    <col min="6" max="6" width="17.140625" style="6" customWidth="1"/>
    <col min="7" max="7" width="14.7109375" style="6" customWidth="1"/>
    <col min="8" max="8" width="12.7109375" style="6" hidden="1" customWidth="1"/>
    <col min="9" max="9" width="14.7109375" style="6" customWidth="1"/>
    <col min="10" max="12" width="8.8515625" style="6" customWidth="1"/>
    <col min="13" max="13" width="8.8515625" style="6" hidden="1" customWidth="1"/>
    <col min="14" max="14" width="10.8515625" style="6" customWidth="1"/>
    <col min="15" max="16384" width="8.8515625" style="6" customWidth="1"/>
  </cols>
  <sheetData>
    <row r="1" spans="1:16" ht="36.75" customHeight="1">
      <c r="A1" s="87" t="s">
        <v>24</v>
      </c>
      <c r="B1" s="294" t="str">
        <f>CONCATENATE(INDEX('Chassis Definition'!$A$3:$A$10,'Configure System'!$B3)," / ",INDEX(Serverboard!A$2:A$13,'Configure Serverboard'!$B7))</f>
        <v>(Select Chassis) / S5500WB12V Serverboard</v>
      </c>
      <c r="C1" s="295"/>
      <c r="D1" s="295"/>
      <c r="E1" s="295"/>
      <c r="F1" s="295"/>
      <c r="G1" s="295"/>
      <c r="H1" s="295"/>
      <c r="I1" s="296"/>
      <c r="J1" s="2"/>
      <c r="K1" s="2"/>
      <c r="L1" s="2"/>
      <c r="M1" s="2"/>
      <c r="N1" s="2"/>
      <c r="O1" s="2"/>
      <c r="P1" s="2"/>
    </row>
    <row r="2" spans="1:16" ht="15" customHeight="1">
      <c r="A2" s="224" t="s">
        <v>49</v>
      </c>
      <c r="B2" s="225"/>
      <c r="D2" s="88" t="str">
        <f>INDEX('Chassis Definition'!A$3:A$10,'Configure System'!$B3)</f>
        <v>(Select Chassis)</v>
      </c>
      <c r="E2" s="65"/>
      <c r="F2" s="65"/>
      <c r="G2" s="65"/>
      <c r="H2" s="65"/>
      <c r="I2" s="89"/>
      <c r="J2" s="2"/>
      <c r="K2" s="2"/>
      <c r="L2" s="2"/>
      <c r="M2" s="2"/>
      <c r="N2" s="2"/>
      <c r="O2" s="2"/>
      <c r="P2" s="2"/>
    </row>
    <row r="3" spans="1:16" ht="18" customHeight="1">
      <c r="A3" s="226" t="s">
        <v>42</v>
      </c>
      <c r="B3" s="227"/>
      <c r="D3" s="66" t="str">
        <f>INDEX(Serverboard!A$2:A$13,'Configure Serverboard'!$B7)</f>
        <v>S5500WB12V Serverboard</v>
      </c>
      <c r="E3" s="67"/>
      <c r="F3" s="67"/>
      <c r="G3" s="67"/>
      <c r="H3" s="67"/>
      <c r="I3" s="90"/>
      <c r="J3" s="2"/>
      <c r="K3" s="2"/>
      <c r="L3" s="2"/>
      <c r="M3" s="2"/>
      <c r="N3" s="2"/>
      <c r="O3" s="2"/>
      <c r="P3" s="2"/>
    </row>
    <row r="4" spans="1:16" ht="36" customHeight="1" thickBot="1">
      <c r="A4" s="91" t="s">
        <v>41</v>
      </c>
      <c r="B4" s="198" t="s">
        <v>20</v>
      </c>
      <c r="C4" s="198" t="s">
        <v>21</v>
      </c>
      <c r="D4" s="43" t="s">
        <v>173</v>
      </c>
      <c r="E4" s="43" t="s">
        <v>183</v>
      </c>
      <c r="F4" s="43" t="s">
        <v>190</v>
      </c>
      <c r="G4" s="43" t="s">
        <v>126</v>
      </c>
      <c r="H4" s="167" t="s">
        <v>86</v>
      </c>
      <c r="I4" s="92" t="s">
        <v>35</v>
      </c>
      <c r="J4" s="2"/>
      <c r="K4" s="2"/>
      <c r="L4" s="56"/>
      <c r="M4" s="2"/>
      <c r="N4" s="2"/>
      <c r="O4" s="2"/>
      <c r="P4" s="2"/>
    </row>
    <row r="5" spans="1:16" ht="12.75">
      <c r="A5" s="12" t="s">
        <v>192</v>
      </c>
      <c r="B5" s="47"/>
      <c r="C5" s="47"/>
      <c r="D5" s="47">
        <f>SUM('Configure Serverboard'!F5)</f>
        <v>0</v>
      </c>
      <c r="E5" s="47">
        <f>'Configure Serverboard'!G3</f>
        <v>0</v>
      </c>
      <c r="F5" s="47">
        <f>'Configure Serverboard'!H5</f>
        <v>0</v>
      </c>
      <c r="G5" s="47"/>
      <c r="H5" s="47"/>
      <c r="I5" s="44">
        <f>SUM('Configure Serverboard'!K3+'Configure Serverboard'!K5)</f>
        <v>0</v>
      </c>
      <c r="J5" s="57"/>
      <c r="K5" s="2"/>
      <c r="L5" s="2"/>
      <c r="M5" s="2"/>
      <c r="N5" s="2"/>
      <c r="O5" s="2"/>
      <c r="P5" s="2"/>
    </row>
    <row r="6" spans="1:16" ht="12.75">
      <c r="A6" s="12" t="s">
        <v>191</v>
      </c>
      <c r="B6" s="47"/>
      <c r="C6" s="47"/>
      <c r="D6" s="47">
        <f>SUM('Configure Serverboard'!F4:F6)</f>
        <v>0</v>
      </c>
      <c r="E6" s="47">
        <f>'Configure Serverboard'!G8</f>
        <v>0.41896551724137937</v>
      </c>
      <c r="F6" s="47">
        <f>'Configure Serverboard'!H9</f>
        <v>0.41896551724137937</v>
      </c>
      <c r="G6" s="47"/>
      <c r="H6" s="47"/>
      <c r="I6" s="44">
        <f>SUM('Configure Serverboard'!K8:K9)</f>
        <v>10.055172413793105</v>
      </c>
      <c r="J6" s="57"/>
      <c r="K6" s="2"/>
      <c r="L6" s="2"/>
      <c r="M6" s="2"/>
      <c r="N6" s="2"/>
      <c r="O6" s="2"/>
      <c r="P6" s="2"/>
    </row>
    <row r="7" spans="1:16" ht="12.75">
      <c r="A7" s="12" t="str">
        <f>CONCATENATE("Risers + PCI Cards - Qty ",('Configure Serverboard'!B10&gt;1)+('Configure Serverboard'!B11&gt;1)+('Configure Serverboard'!B13&gt;1)+('Configure Serverboard'!B14&gt;1)+('Configure Serverboard'!B15&gt;1),":")</f>
        <v>Risers + PCI Cards - Qty 2:</v>
      </c>
      <c r="B7" s="47"/>
      <c r="C7" s="47"/>
      <c r="D7" s="47">
        <f>SUM('Configure Serverboard'!F10:F15)</f>
        <v>1.2907894736842105</v>
      </c>
      <c r="E7" s="47"/>
      <c r="F7" s="47"/>
      <c r="G7" s="47">
        <f>SUM('Configure Serverboard'!I10:I15)</f>
        <v>0</v>
      </c>
      <c r="H7" s="47"/>
      <c r="I7" s="44">
        <f>SUM('Configure Serverboard'!K10:K15)</f>
        <v>15.489473684210525</v>
      </c>
      <c r="J7" s="57"/>
      <c r="K7" s="58"/>
      <c r="L7" s="2"/>
      <c r="M7" s="2"/>
      <c r="N7" s="2"/>
      <c r="O7" s="2"/>
      <c r="P7" s="2"/>
    </row>
    <row r="8" spans="1:16" ht="12.75">
      <c r="A8" s="12" t="str">
        <f>CONCATENATE("Hard Drives - Qty ",'Configure System'!C4+'Configure System'!C5,":")</f>
        <v>Hard Drives - Qty 0:</v>
      </c>
      <c r="B8" s="47"/>
      <c r="C8" s="47"/>
      <c r="D8" s="47">
        <f>SUM('Configure System'!G4:G5)</f>
        <v>0</v>
      </c>
      <c r="E8" s="47"/>
      <c r="F8" s="47"/>
      <c r="G8" s="47">
        <v>0</v>
      </c>
      <c r="H8" s="47"/>
      <c r="I8" s="44">
        <f>SUM('Configure System'!L4:L5)</f>
        <v>0</v>
      </c>
      <c r="J8" s="57"/>
      <c r="K8" s="58"/>
      <c r="L8" s="2"/>
      <c r="M8" s="2"/>
      <c r="N8" s="2"/>
      <c r="O8" s="2"/>
      <c r="P8" s="2"/>
    </row>
    <row r="9" spans="1:16" ht="12.75">
      <c r="A9" s="12" t="s">
        <v>42</v>
      </c>
      <c r="B9" s="47"/>
      <c r="C9" s="47"/>
      <c r="D9" s="47">
        <f>SUM('Configure Serverboard'!F7:F9)</f>
        <v>2</v>
      </c>
      <c r="E9" s="47"/>
      <c r="F9" s="47"/>
      <c r="G9" s="47">
        <f>SUM('Configure Serverboard'!I7:I9)</f>
        <v>1</v>
      </c>
      <c r="H9" s="47"/>
      <c r="I9" s="44">
        <f>SUM('Configure Serverboard'!K7)</f>
        <v>29</v>
      </c>
      <c r="J9" s="57"/>
      <c r="K9" s="2"/>
      <c r="L9" s="2"/>
      <c r="M9" s="2"/>
      <c r="N9" s="2"/>
      <c r="O9" s="2"/>
      <c r="P9" s="2"/>
    </row>
    <row r="10" spans="1:16" ht="12.75">
      <c r="A10" s="13" t="s">
        <v>18</v>
      </c>
      <c r="B10" s="48"/>
      <c r="C10" s="48"/>
      <c r="D10" s="48">
        <f>Sys12-D8</f>
        <v>0</v>
      </c>
      <c r="E10" s="48"/>
      <c r="F10" s="48"/>
      <c r="G10" s="48">
        <f>'Configure System'!J10</f>
        <v>0</v>
      </c>
      <c r="H10" s="48"/>
      <c r="I10" s="44">
        <f>3.3*Sys3.3+5*Sys5+12*Sys12+12*Sys12Neg-I8</f>
        <v>0</v>
      </c>
      <c r="J10" s="57"/>
      <c r="K10" s="2"/>
      <c r="L10" s="2"/>
      <c r="M10" s="2"/>
      <c r="N10" s="2"/>
      <c r="O10" s="2"/>
      <c r="P10" s="2"/>
    </row>
    <row r="11" spans="1:16" s="64" customFormat="1" ht="18.75" thickBot="1">
      <c r="A11" s="60" t="s">
        <v>56</v>
      </c>
      <c r="B11" s="61"/>
      <c r="C11" s="61"/>
      <c r="D11" s="61">
        <f>SUM(D5:D10)</f>
        <v>3.2907894736842103</v>
      </c>
      <c r="E11" s="61">
        <f>SUM(E5:E10)</f>
        <v>0.41896551724137937</v>
      </c>
      <c r="F11" s="61">
        <f>SUM(F5:F10)</f>
        <v>0.41896551724137937</v>
      </c>
      <c r="G11" s="61">
        <f>SUM(G5:G10)</f>
        <v>1</v>
      </c>
      <c r="H11" s="61"/>
      <c r="I11" s="62">
        <f>SUM(I5:I10)</f>
        <v>54.54464609800363</v>
      </c>
      <c r="J11" s="63"/>
      <c r="K11" s="63"/>
      <c r="L11" s="63"/>
      <c r="M11" s="63"/>
      <c r="N11" s="63"/>
      <c r="O11" s="63"/>
      <c r="P11" s="63"/>
    </row>
    <row r="12" spans="1:16" ht="15.75" thickBot="1">
      <c r="A12" s="162" t="s">
        <v>203</v>
      </c>
      <c r="B12" s="46"/>
      <c r="C12" s="46"/>
      <c r="D12" s="290">
        <f>INDEX('Chassis Definition'!D$3:D$10,'Configure System'!$B3)</f>
        <v>0</v>
      </c>
      <c r="E12" s="290">
        <f>INDEX('Chassis Definition'!E$3:E$10,'Configure System'!$B3)</f>
        <v>0</v>
      </c>
      <c r="F12" s="290">
        <f>INDEX('Chassis Definition'!F$3:F$10,'Configure System'!$B3)</f>
        <v>0</v>
      </c>
      <c r="G12" s="290">
        <f>INDEX('Chassis Definition'!G$3:G$10,'Configure System'!$B3)</f>
        <v>0</v>
      </c>
      <c r="H12" s="46"/>
      <c r="I12" s="272">
        <f>INDEX('Chassis Definition'!I$3:I$10,'Configure System'!$B3)</f>
        <v>0</v>
      </c>
      <c r="J12" s="270"/>
      <c r="K12" s="271"/>
      <c r="L12" s="271"/>
      <c r="M12" s="271"/>
      <c r="N12" s="271"/>
      <c r="O12" s="271"/>
      <c r="P12" s="271"/>
    </row>
    <row r="13" spans="1:16" ht="16.5" thickBot="1">
      <c r="A13" s="162" t="s">
        <v>55</v>
      </c>
      <c r="B13" s="45"/>
      <c r="C13" s="45"/>
      <c r="D13" s="45">
        <f>PS1_12-D11</f>
        <v>-3.2907894736842103</v>
      </c>
      <c r="E13" s="45">
        <f>E12-E11</f>
        <v>-0.41896551724137937</v>
      </c>
      <c r="F13" s="45">
        <f>F12-F11</f>
        <v>-0.41896551724137937</v>
      </c>
      <c r="G13" s="45">
        <f>G12-G11</f>
        <v>-1</v>
      </c>
      <c r="H13" s="45"/>
      <c r="I13" s="45">
        <f>ps1CombLim-PowerTotal</f>
        <v>-54.54464609800363</v>
      </c>
      <c r="J13" s="268" t="str">
        <f>IF(OR(OR(OR(B13&lt;0,C13&lt;0),OR(D13&lt;0,F13&lt;0)),I13&lt;0),"&lt;-- Limits Exceeded!","")</f>
        <v>&lt;-- Limits Exceeded!</v>
      </c>
      <c r="K13" s="269"/>
      <c r="L13" s="269"/>
      <c r="M13" s="269"/>
      <c r="N13" s="269"/>
      <c r="O13" s="269"/>
      <c r="P13" s="269"/>
    </row>
    <row r="14" spans="1:9" ht="23.25">
      <c r="A14" s="299" t="s">
        <v>27</v>
      </c>
      <c r="B14" s="300"/>
      <c r="C14" s="300"/>
      <c r="D14" s="300"/>
      <c r="E14" s="300"/>
      <c r="F14" s="300"/>
      <c r="G14" s="300"/>
      <c r="H14" s="300"/>
      <c r="I14" s="300"/>
    </row>
    <row r="15" spans="1:9" ht="23.25">
      <c r="A15" s="289"/>
      <c r="B15" s="288"/>
      <c r="C15" s="288"/>
      <c r="D15" s="288"/>
      <c r="E15" s="288"/>
      <c r="F15" s="288"/>
      <c r="G15" s="288"/>
      <c r="H15" s="288"/>
      <c r="I15" s="288"/>
    </row>
    <row r="16" spans="1:9" ht="38.25" customHeight="1">
      <c r="A16" s="301" t="s">
        <v>209</v>
      </c>
      <c r="B16" s="301"/>
      <c r="C16" s="301"/>
      <c r="D16" s="301"/>
      <c r="E16" s="301"/>
      <c r="F16" s="301"/>
      <c r="G16" s="301"/>
      <c r="H16" s="301"/>
      <c r="I16" s="301"/>
    </row>
    <row r="17" spans="1:9" ht="18.75" thickBot="1">
      <c r="A17" s="291" t="s">
        <v>210</v>
      </c>
      <c r="B17" s="127"/>
      <c r="C17" s="127"/>
      <c r="D17" s="61">
        <f>D11+E11+F11</f>
        <v>4.128720508166969</v>
      </c>
      <c r="G17" s="288"/>
      <c r="H17" s="288"/>
      <c r="I17" s="288"/>
    </row>
    <row r="18" spans="1:9" ht="15.75" thickBot="1">
      <c r="A18" s="162" t="s">
        <v>211</v>
      </c>
      <c r="B18" s="127"/>
      <c r="C18" s="127"/>
      <c r="D18" s="46">
        <f>PS1_12+E12+PS1_12Neg</f>
        <v>0</v>
      </c>
      <c r="G18" s="288"/>
      <c r="H18" s="288"/>
      <c r="I18" s="288"/>
    </row>
    <row r="19" spans="1:9" ht="17.25" customHeight="1" thickBot="1">
      <c r="A19" s="162" t="s">
        <v>212</v>
      </c>
      <c r="B19" s="127"/>
      <c r="C19" s="127"/>
      <c r="D19" s="45">
        <f>D18-D17</f>
        <v>-4.128720508166969</v>
      </c>
      <c r="G19" s="288"/>
      <c r="H19" s="288"/>
      <c r="I19" s="288"/>
    </row>
    <row r="20" spans="2:9" ht="17.25" customHeight="1">
      <c r="B20" s="127"/>
      <c r="C20" s="127"/>
      <c r="D20" s="127"/>
      <c r="E20" s="127"/>
      <c r="F20" s="127"/>
      <c r="G20" s="127"/>
      <c r="H20" s="127"/>
      <c r="I20" s="127"/>
    </row>
    <row r="21" spans="2:9" ht="27.75" customHeight="1">
      <c r="B21" s="127"/>
      <c r="C21" s="127"/>
      <c r="D21" s="127"/>
      <c r="E21" s="127"/>
      <c r="F21" s="127"/>
      <c r="G21" s="127"/>
      <c r="H21" s="127"/>
      <c r="I21" s="127"/>
    </row>
    <row r="22" spans="1:10" ht="28.5" customHeight="1">
      <c r="A22" s="297" t="s">
        <v>208</v>
      </c>
      <c r="B22" s="298"/>
      <c r="C22" s="298"/>
      <c r="D22" s="298"/>
      <c r="E22" s="298"/>
      <c r="F22" s="127"/>
      <c r="H22" s="127"/>
      <c r="I22" s="127"/>
      <c r="J22" s="127"/>
    </row>
    <row r="23" spans="1:17" ht="18.75" customHeight="1">
      <c r="A23" s="247" t="s">
        <v>115</v>
      </c>
      <c r="B23" s="128"/>
      <c r="C23" s="161" t="s">
        <v>78</v>
      </c>
      <c r="D23" s="249">
        <v>2</v>
      </c>
      <c r="E23" s="131" t="s">
        <v>204</v>
      </c>
      <c r="F23" s="205"/>
      <c r="I23" s="228"/>
      <c r="M23" s="207">
        <v>220</v>
      </c>
      <c r="O23" s="30"/>
      <c r="P23" s="204"/>
      <c r="Q23" s="30"/>
    </row>
    <row r="24" spans="1:17" ht="18">
      <c r="A24" s="158" t="s">
        <v>97</v>
      </c>
      <c r="B24" s="157"/>
      <c r="C24" s="158"/>
      <c r="D24" s="131">
        <f>IF(D23=1,PowerTotal/(INDEX('Chassis Definition'!$O$3:$O$10,'Configure System'!$B3)+0.001),PowerTotal/(INDEX('Chassis Definition'!$N$3:$N$10,'Configure System'!$B3)+0.001))</f>
        <v>54.49015594206158</v>
      </c>
      <c r="E24" s="131" t="s">
        <v>205</v>
      </c>
      <c r="F24" s="206"/>
      <c r="M24" s="208">
        <v>115</v>
      </c>
      <c r="O24" s="30"/>
      <c r="P24" s="30"/>
      <c r="Q24" s="30"/>
    </row>
    <row r="25" spans="1:17" ht="18">
      <c r="A25" s="159" t="s">
        <v>96</v>
      </c>
      <c r="B25" s="129"/>
      <c r="C25" s="159"/>
      <c r="D25" s="131">
        <f>D24/INDEX(M23:M25,D23)</f>
        <v>0.4738274429744485</v>
      </c>
      <c r="E25" s="131" t="s">
        <v>206</v>
      </c>
      <c r="F25" s="206"/>
      <c r="J25" s="127"/>
      <c r="M25" s="208">
        <v>100</v>
      </c>
      <c r="O25" s="30"/>
      <c r="P25" s="30"/>
      <c r="Q25" s="30"/>
    </row>
    <row r="26" spans="1:17" ht="18">
      <c r="A26" s="160" t="s">
        <v>95</v>
      </c>
      <c r="B26" s="130"/>
      <c r="C26" s="160"/>
      <c r="D26" s="131">
        <f>D24*3.41</f>
        <v>185.81143176242998</v>
      </c>
      <c r="E26" s="131" t="s">
        <v>207</v>
      </c>
      <c r="F26" s="206"/>
      <c r="I26" s="127"/>
      <c r="J26" s="127"/>
      <c r="O26" s="30"/>
      <c r="P26" s="30"/>
      <c r="Q26" s="30"/>
    </row>
    <row r="27" spans="1:17" ht="15">
      <c r="A27" s="6" t="s">
        <v>82</v>
      </c>
      <c r="B27" s="127"/>
      <c r="C27" s="127"/>
      <c r="D27" s="127"/>
      <c r="E27" s="127"/>
      <c r="F27" s="127"/>
      <c r="G27" s="127"/>
      <c r="H27" s="127"/>
      <c r="I27" s="127"/>
      <c r="J27" s="127"/>
      <c r="O27" s="30"/>
      <c r="P27" s="30"/>
      <c r="Q27" s="30"/>
    </row>
    <row r="28" spans="1:17" ht="18.75" customHeight="1">
      <c r="A28" s="93"/>
      <c r="B28" s="93"/>
      <c r="C28" s="93"/>
      <c r="D28" s="93"/>
      <c r="E28" s="93"/>
      <c r="F28" s="93"/>
      <c r="G28" s="93"/>
      <c r="H28" s="93"/>
      <c r="I28" s="93"/>
      <c r="J28" s="93"/>
      <c r="O28" s="59"/>
      <c r="P28" s="59"/>
      <c r="Q28" s="30"/>
    </row>
    <row r="29" spans="1:16" ht="12.75">
      <c r="A29" s="2"/>
      <c r="B29" s="2"/>
      <c r="C29" s="2"/>
      <c r="D29" s="2"/>
      <c r="E29" s="2"/>
      <c r="F29" s="2"/>
      <c r="G29" s="2"/>
      <c r="H29" s="2"/>
      <c r="I29" s="2"/>
      <c r="J29" s="2"/>
      <c r="K29" s="2"/>
      <c r="L29" s="2"/>
      <c r="M29" s="2"/>
      <c r="N29" s="2"/>
      <c r="O29" s="2"/>
      <c r="P29" s="2"/>
    </row>
    <row r="30" spans="1:16" ht="12.75">
      <c r="A30" s="2"/>
      <c r="B30" s="2"/>
      <c r="C30" s="2"/>
      <c r="D30" s="2"/>
      <c r="E30" s="2"/>
      <c r="F30" s="2"/>
      <c r="G30" s="2"/>
      <c r="H30" s="2"/>
      <c r="I30" s="2"/>
      <c r="J30" s="2"/>
      <c r="K30" s="2"/>
      <c r="L30" s="2"/>
      <c r="M30" s="2"/>
      <c r="N30" s="2"/>
      <c r="O30" s="2"/>
      <c r="P30" s="2"/>
    </row>
    <row r="31" ht="12.75">
      <c r="A31" s="256"/>
    </row>
    <row r="32" ht="12.75">
      <c r="A32" s="256"/>
    </row>
    <row r="33" ht="12.75">
      <c r="A33" s="256"/>
    </row>
    <row r="35" spans="1:4" ht="12.75">
      <c r="A35" s="258" t="str">
        <f>CONCATENATE("Revision: ",Revision!B1)</f>
        <v>Revision: 1.2</v>
      </c>
      <c r="D35" s="259">
        <f>Revision!A1</f>
        <v>39944</v>
      </c>
    </row>
  </sheetData>
  <sheetProtection password="DBB7" sheet="1" objects="1" scenarios="1"/>
  <mergeCells count="4">
    <mergeCell ref="B1:I1"/>
    <mergeCell ref="A22:E22"/>
    <mergeCell ref="A14:I14"/>
    <mergeCell ref="A16:I16"/>
  </mergeCells>
  <conditionalFormatting sqref="A28">
    <cfRule type="expression" priority="1" dxfId="3" stopIfTrue="1">
      <formula>OR(OR(OR(OR(B28&lt;0,C28&lt;0),#REF!&lt;0),#REF!&lt;0),J28&lt;0)</formula>
    </cfRule>
  </conditionalFormatting>
  <conditionalFormatting sqref="B20:I21 J25:J28 I26:I28 F22 H22:J22 B27:H28">
    <cfRule type="cellIs" priority="2" dxfId="3" operator="lessThan" stopIfTrue="1">
      <formula>0</formula>
    </cfRule>
    <cfRule type="cellIs" priority="3" dxfId="2" operator="greaterThanOrEqual" stopIfTrue="1">
      <formula>0</formula>
    </cfRule>
  </conditionalFormatting>
  <conditionalFormatting sqref="D19 B13:I13">
    <cfRule type="cellIs" priority="4" dxfId="0" operator="lessThan" stopIfTrue="1">
      <formula>0</formula>
    </cfRule>
  </conditionalFormatting>
  <printOptions/>
  <pageMargins left="0.75" right="0.75" top="1" bottom="1" header="0.5" footer="0.5"/>
  <pageSetup horizontalDpi="600" verticalDpi="600" orientation="landscape" r:id="rId2"/>
  <legacyDrawing r:id="rId1"/>
</worksheet>
</file>

<file path=xl/worksheets/sheet4.xml><?xml version="1.0" encoding="utf-8"?>
<worksheet xmlns="http://schemas.openxmlformats.org/spreadsheetml/2006/main" xmlns:r="http://schemas.openxmlformats.org/officeDocument/2006/relationships">
  <sheetPr codeName="Sheet71"/>
  <dimension ref="A1:S24"/>
  <sheetViews>
    <sheetView showGridLines="0" showRowColHeaders="0" zoomScale="85" zoomScaleNormal="85" zoomScalePageLayoutView="0" workbookViewId="0" topLeftCell="A1">
      <selection activeCell="A3" sqref="A3"/>
    </sheetView>
  </sheetViews>
  <sheetFormatPr defaultColWidth="8.8515625" defaultRowHeight="12.75"/>
  <cols>
    <col min="1" max="1" width="31.7109375" style="6" customWidth="1"/>
    <col min="2" max="2" width="31.421875" style="6" customWidth="1"/>
    <col min="3" max="3" width="3.421875" style="6" customWidth="1"/>
    <col min="4" max="4" width="2.57421875" style="6" customWidth="1"/>
    <col min="5" max="6" width="7.140625" style="6" hidden="1" customWidth="1"/>
    <col min="7" max="7" width="8.00390625" style="6" customWidth="1"/>
    <col min="8" max="10" width="7.140625" style="6" customWidth="1"/>
    <col min="11" max="11" width="7.140625" style="6" hidden="1" customWidth="1"/>
    <col min="12" max="12" width="14.421875" style="6" customWidth="1"/>
    <col min="13" max="13" width="8.8515625" style="6" customWidth="1"/>
    <col min="14" max="14" width="10.8515625" style="6" hidden="1" customWidth="1"/>
    <col min="15" max="15" width="11.7109375" style="6" hidden="1" customWidth="1"/>
    <col min="16" max="16" width="11.140625" style="6" hidden="1" customWidth="1"/>
    <col min="17" max="16384" width="8.8515625" style="6" customWidth="1"/>
  </cols>
  <sheetData>
    <row r="1" spans="1:16" ht="36.75" customHeight="1" thickBot="1">
      <c r="A1" s="94" t="s">
        <v>24</v>
      </c>
      <c r="B1" s="231" t="str">
        <f>CONCATENATE(INDEX('Chassis Definition'!$A$3:$A$10,B3)," System Configuration")</f>
        <v>(Select Chassis) System Configuration</v>
      </c>
      <c r="C1" s="231"/>
      <c r="D1" s="231"/>
      <c r="E1" s="231"/>
      <c r="F1" s="231"/>
      <c r="G1" s="231"/>
      <c r="H1" s="231"/>
      <c r="I1" s="231"/>
      <c r="J1" s="123"/>
      <c r="K1" s="123"/>
      <c r="L1" s="95"/>
      <c r="N1" s="195" t="s">
        <v>193</v>
      </c>
      <c r="O1" s="195" t="s">
        <v>194</v>
      </c>
      <c r="P1" s="195" t="s">
        <v>195</v>
      </c>
    </row>
    <row r="2" spans="1:16" ht="39" customHeight="1" thickBot="1">
      <c r="A2" s="96" t="s">
        <v>43</v>
      </c>
      <c r="B2" s="38" t="s">
        <v>0</v>
      </c>
      <c r="C2" s="17" t="s">
        <v>11</v>
      </c>
      <c r="D2" s="17"/>
      <c r="E2" s="167" t="s">
        <v>20</v>
      </c>
      <c r="F2" s="167" t="s">
        <v>21</v>
      </c>
      <c r="G2" s="33" t="s">
        <v>173</v>
      </c>
      <c r="H2" s="34" t="s">
        <v>174</v>
      </c>
      <c r="I2" s="34" t="s">
        <v>175</v>
      </c>
      <c r="J2" s="33" t="s">
        <v>127</v>
      </c>
      <c r="K2" s="167" t="s">
        <v>86</v>
      </c>
      <c r="L2" s="34" t="s">
        <v>48</v>
      </c>
      <c r="M2" s="31"/>
      <c r="N2" s="277">
        <f>INDEX('Chassis Definition'!M$3:M$10,$B3)</f>
        <v>1</v>
      </c>
      <c r="O2" s="276">
        <f>INDEX(Serverboard!I$2:I$11,'Configure Serverboard'!$B7)</f>
        <v>0.95</v>
      </c>
      <c r="P2" s="6">
        <f>INDEX(Serverboard!J$2:J$11,'Configure Serverboard'!$B7)</f>
        <v>0.92</v>
      </c>
    </row>
    <row r="3" spans="1:13" s="10" customFormat="1" ht="18" customHeight="1">
      <c r="A3" s="12" t="s">
        <v>59</v>
      </c>
      <c r="B3" s="55">
        <v>1</v>
      </c>
      <c r="C3" s="97"/>
      <c r="D3" s="97"/>
      <c r="E3" s="183"/>
      <c r="F3" s="183"/>
      <c r="G3" s="98">
        <f>INDEX('Chassis Definition'!$J$3:$J$10,B3)+IF(INDEX('Chassis Definition'!$K$3:$K$10,B3)="Y",(INDEX(Processors!C2:C31,'Configure Serverboard'!B5)*'Configure Serverboard'!C6),0)</f>
        <v>0</v>
      </c>
      <c r="H3" s="185"/>
      <c r="I3" s="185"/>
      <c r="J3" s="124"/>
      <c r="K3" s="168"/>
      <c r="L3" s="11">
        <f>G3*12</f>
        <v>0</v>
      </c>
      <c r="M3" s="10" t="s">
        <v>98</v>
      </c>
    </row>
    <row r="4" spans="1:13" ht="19.5" customHeight="1">
      <c r="A4" s="12" t="s">
        <v>118</v>
      </c>
      <c r="B4" s="99">
        <v>1</v>
      </c>
      <c r="C4" s="100">
        <v>0</v>
      </c>
      <c r="D4" s="229"/>
      <c r="E4" s="183"/>
      <c r="F4" s="184">
        <f>INDEX(HardDrive!$C$2:$C$14,B4)*C4*1</f>
        <v>0</v>
      </c>
      <c r="G4" s="98">
        <f>IF(N2&gt;0,(INDEX(HardDrive!$D$2:$D$14,B4)*C4+((F4*5)/12)/$N$2),INDEX(HardDrive!$D$2:$D$14,B4)*C4+((F4*5)/12)/$O$2)</f>
        <v>0</v>
      </c>
      <c r="H4" s="183"/>
      <c r="I4" s="183"/>
      <c r="J4" s="11"/>
      <c r="K4" s="169"/>
      <c r="L4" s="11">
        <f aca="true" t="shared" si="0" ref="L4:L9">G4*12</f>
        <v>0</v>
      </c>
      <c r="M4" s="134" t="str">
        <f>IF(C4+C5&gt;(INDEX('Chassis Definition'!$L$3:$L$10,'Configure System'!$B3)),"&lt;-- Max Supported HDD Count Exceeded!"," ")</f>
        <v> </v>
      </c>
    </row>
    <row r="5" spans="1:13" ht="19.5" customHeight="1">
      <c r="A5" s="12" t="s">
        <v>119</v>
      </c>
      <c r="B5" s="99">
        <v>1</v>
      </c>
      <c r="C5" s="100">
        <v>0</v>
      </c>
      <c r="D5" s="229"/>
      <c r="E5" s="183"/>
      <c r="F5" s="184">
        <f>INDEX(HardDrive!$C$2:$C$14,B5)*C5*1</f>
        <v>0</v>
      </c>
      <c r="G5" s="98">
        <f>IF(N2&gt;0,(INDEX(HardDrive!$D$2:$D$14,B5)*C5+((F5*5)/12)/$N$2),INDEX(HardDrive!$D$2:$D$14,B5)*C5+((F5*5)/12)/$O$2)</f>
        <v>0</v>
      </c>
      <c r="H5" s="183"/>
      <c r="I5" s="183"/>
      <c r="J5" s="11"/>
      <c r="K5" s="169"/>
      <c r="L5" s="11">
        <f t="shared" si="0"/>
        <v>0</v>
      </c>
      <c r="M5" s="134" t="str">
        <f>IF(C4+C5&gt;(INDEX('Chassis Definition'!$L$3:$L$10,'Configure System'!$B3)),"&lt;-- Max Supported HDD Count Exceeded!"," ")</f>
        <v> </v>
      </c>
    </row>
    <row r="6" spans="1:12" ht="19.5" customHeight="1">
      <c r="A6" s="137" t="s">
        <v>58</v>
      </c>
      <c r="B6" s="287">
        <v>1</v>
      </c>
      <c r="C6" s="100">
        <v>0</v>
      </c>
      <c r="D6" s="230"/>
      <c r="E6" s="183"/>
      <c r="F6" s="184">
        <f>INDEX(HSBP!$C$2:$C$12,B6)*C6*1</f>
        <v>0</v>
      </c>
      <c r="G6" s="97">
        <f>IF(N2&gt;0,(INDEX(HSBP!$D$2:$D$12,B6)*C6+((F6*5)/12)/$N$2),(INDEX(HSBP!$D$2:$D$12,B6)*C6+((F6*5)/12)/$O$2)*1)</f>
        <v>0</v>
      </c>
      <c r="H6" s="183"/>
      <c r="I6" s="183"/>
      <c r="J6" s="11">
        <f>(INDEX(HSBP!$F$2:$F$12,B6)*C6)</f>
        <v>0</v>
      </c>
      <c r="K6" s="169"/>
      <c r="L6" s="138">
        <f>(G6*12)+(J6*5)</f>
        <v>0</v>
      </c>
    </row>
    <row r="7" spans="1:12" ht="19.5" customHeight="1">
      <c r="A7" s="12" t="s">
        <v>112</v>
      </c>
      <c r="B7" s="97" t="s">
        <v>67</v>
      </c>
      <c r="C7" s="100">
        <v>0</v>
      </c>
      <c r="D7" s="229"/>
      <c r="E7" s="183"/>
      <c r="F7" s="184">
        <f>0.1*C7</f>
        <v>0</v>
      </c>
      <c r="G7" s="98">
        <f>((F7*5)/12)/'Configure Serverboard'!O2</f>
        <v>0</v>
      </c>
      <c r="H7" s="183"/>
      <c r="I7" s="183"/>
      <c r="J7" s="11"/>
      <c r="K7" s="169"/>
      <c r="L7" s="11">
        <f t="shared" si="0"/>
        <v>0</v>
      </c>
    </row>
    <row r="8" spans="1:12" ht="19.5" customHeight="1">
      <c r="A8" s="12" t="s">
        <v>111</v>
      </c>
      <c r="B8" s="99">
        <v>1</v>
      </c>
      <c r="C8" s="100">
        <v>0</v>
      </c>
      <c r="D8" s="229"/>
      <c r="E8" s="183"/>
      <c r="F8" s="184">
        <f>INDEX(Peripherals!C$3:C$9,$B8)*C8</f>
        <v>0</v>
      </c>
      <c r="G8" s="98">
        <f>IF(N2&gt;0,(INDEX(Peripherals!$D$3:$D$9,B8)*C8+((F8*5)/12)/$N$2),(INDEX(Peripherals!$D$3:$D$9,B8)*C8+((F8*5)/12)/$O$2))</f>
        <v>0</v>
      </c>
      <c r="H8" s="183"/>
      <c r="I8" s="183"/>
      <c r="J8" s="125">
        <f>INDEX(Peripherals!F$3:F$9,$B8)*C8</f>
        <v>0</v>
      </c>
      <c r="K8" s="170"/>
      <c r="L8" s="11">
        <f t="shared" si="0"/>
        <v>0</v>
      </c>
    </row>
    <row r="9" spans="1:12" ht="18.75" customHeight="1">
      <c r="A9" s="12" t="s">
        <v>138</v>
      </c>
      <c r="B9" s="99">
        <v>1</v>
      </c>
      <c r="C9" s="100">
        <v>0</v>
      </c>
      <c r="D9" s="229"/>
      <c r="E9" s="183"/>
      <c r="F9" s="184">
        <f>INDEX(Peripherals!C$11:C$19,$B9)*C9</f>
        <v>0</v>
      </c>
      <c r="G9" s="98">
        <f>IF(N2&gt;0,(INDEX(Peripherals!$D$11:$D$19,B9)*C9+((F9*5)/12)/$N$2),(INDEX(Peripherals!$D$11:$D$19,B9)*C9+((F9*5)/12)/$O$2))</f>
        <v>0</v>
      </c>
      <c r="H9" s="183"/>
      <c r="I9" s="183"/>
      <c r="J9" s="125">
        <f>INDEX(Peripherals!F$11:F$19,$B9)*C9</f>
        <v>0</v>
      </c>
      <c r="K9" s="170"/>
      <c r="L9" s="11">
        <f t="shared" si="0"/>
        <v>0</v>
      </c>
    </row>
    <row r="10" spans="1:12" ht="12.75" customHeight="1">
      <c r="A10" s="101"/>
      <c r="B10" s="102" t="s">
        <v>50</v>
      </c>
      <c r="C10" s="8"/>
      <c r="D10" s="8"/>
      <c r="E10" s="171"/>
      <c r="F10" s="171">
        <f>SUM(F3:F9)</f>
        <v>0</v>
      </c>
      <c r="G10" s="41">
        <f>SUM(G3:G9)</f>
        <v>0</v>
      </c>
      <c r="H10" s="41">
        <f>SUM(H3:H9)</f>
        <v>0</v>
      </c>
      <c r="I10" s="41">
        <f>SUM(I3:I9)</f>
        <v>0</v>
      </c>
      <c r="J10" s="41">
        <f>SUM(J3:J9)</f>
        <v>0</v>
      </c>
      <c r="K10" s="171"/>
      <c r="L10" s="112">
        <f>E10*3.3+F10*5+G10*12+I10*12</f>
        <v>0</v>
      </c>
    </row>
    <row r="11" spans="1:12" ht="12.75" customHeight="1">
      <c r="A11" s="101"/>
      <c r="B11" s="102" t="s">
        <v>66</v>
      </c>
      <c r="C11" s="8"/>
      <c r="D11" s="8"/>
      <c r="E11" s="172"/>
      <c r="F11" s="172">
        <f>F10*5</f>
        <v>0</v>
      </c>
      <c r="G11" s="9">
        <f>G10*12</f>
        <v>0</v>
      </c>
      <c r="H11" s="9">
        <f>H10*12</f>
        <v>0</v>
      </c>
      <c r="I11" s="9">
        <f>I10*12</f>
        <v>0</v>
      </c>
      <c r="J11" s="9">
        <f>J10*5</f>
        <v>0</v>
      </c>
      <c r="K11" s="172"/>
      <c r="L11" s="113">
        <f>SUM(E11:I11)</f>
        <v>0</v>
      </c>
    </row>
    <row r="12" spans="1:12" ht="12.75">
      <c r="A12" s="12"/>
      <c r="B12" s="49" t="s">
        <v>36</v>
      </c>
      <c r="C12" s="49"/>
      <c r="D12" s="49"/>
      <c r="E12" s="173"/>
      <c r="F12" s="50">
        <f>Summary!C11</f>
        <v>0</v>
      </c>
      <c r="G12" s="50">
        <f>Summary!D11</f>
        <v>3.2907894736842103</v>
      </c>
      <c r="H12" s="50">
        <f>Summary!E11</f>
        <v>0.41896551724137937</v>
      </c>
      <c r="I12" s="50">
        <f>Summary!F11</f>
        <v>0.41896551724137937</v>
      </c>
      <c r="J12" s="50">
        <f>Summary!G11</f>
        <v>1</v>
      </c>
      <c r="K12" s="173"/>
      <c r="L12" s="103">
        <f>Summary!I11</f>
        <v>54.54464609800363</v>
      </c>
    </row>
    <row r="13" spans="1:19" ht="12.75">
      <c r="A13" s="12"/>
      <c r="B13" s="49" t="str">
        <f>TEXT(INDEX(Summary!M23:M25,Summary!D23),"###")&amp;"VAC Power Supply DC Limits:"</f>
        <v>115VAC Power Supply DC Limits:</v>
      </c>
      <c r="C13" s="51"/>
      <c r="D13" s="51"/>
      <c r="E13" s="174"/>
      <c r="F13" s="174"/>
      <c r="G13" s="51">
        <f>INDEX('Chassis Definition'!D$3:D$10,'Configure System'!$B3)</f>
        <v>0</v>
      </c>
      <c r="H13" s="51">
        <f>INDEX('Chassis Definition'!E$3:E$10,'Configure System'!$B3)</f>
        <v>0</v>
      </c>
      <c r="I13" s="51">
        <f>INDEX('Chassis Definition'!F$3:F$10,'Configure System'!$B3)</f>
        <v>0</v>
      </c>
      <c r="J13" s="51">
        <f>INDEX('Chassis Definition'!G$3:G$10,'Configure System'!$B3)</f>
        <v>0</v>
      </c>
      <c r="K13" s="174"/>
      <c r="L13" s="104">
        <f>ps1CombLim</f>
        <v>0</v>
      </c>
      <c r="M13" s="273"/>
      <c r="N13" s="271"/>
      <c r="O13" s="271"/>
      <c r="P13" s="271"/>
      <c r="Q13" s="271"/>
      <c r="R13" s="271"/>
      <c r="S13" s="271"/>
    </row>
    <row r="14" spans="1:13" ht="15.75">
      <c r="A14" s="105"/>
      <c r="B14" s="106" t="s">
        <v>57</v>
      </c>
      <c r="C14" s="107"/>
      <c r="D14" s="107"/>
      <c r="E14" s="175"/>
      <c r="F14" s="175"/>
      <c r="G14" s="108">
        <f aca="true" t="shared" si="1" ref="G14:L14">G13-G12</f>
        <v>-3.2907894736842103</v>
      </c>
      <c r="H14" s="108">
        <f t="shared" si="1"/>
        <v>-0.41896551724137937</v>
      </c>
      <c r="I14" s="108">
        <f t="shared" si="1"/>
        <v>-0.41896551724137937</v>
      </c>
      <c r="J14" s="108">
        <f t="shared" si="1"/>
        <v>-1</v>
      </c>
      <c r="K14" s="108">
        <f t="shared" si="1"/>
        <v>0</v>
      </c>
      <c r="L14" s="108">
        <f t="shared" si="1"/>
        <v>-54.54464609800363</v>
      </c>
      <c r="M14" s="292" t="str">
        <f>IF(OR(OR(P99&lt;0,F14&lt;0),OR(G14&lt;0,I14&lt;0)),"&lt;-- Limits Exceeded!","&lt;--System Margins")</f>
        <v>&lt;-- Limits Exceeded!</v>
      </c>
    </row>
    <row r="15" spans="1:12" ht="12.75" hidden="1">
      <c r="A15" s="52" t="s">
        <v>33</v>
      </c>
      <c r="B15" s="52"/>
      <c r="C15" s="52"/>
      <c r="D15" s="52"/>
      <c r="E15" s="53" t="s">
        <v>29</v>
      </c>
      <c r="F15" s="53" t="s">
        <v>30</v>
      </c>
      <c r="G15" s="53" t="s">
        <v>31</v>
      </c>
      <c r="H15" s="54" t="s">
        <v>3</v>
      </c>
      <c r="I15" s="54" t="s">
        <v>3</v>
      </c>
      <c r="J15" s="54"/>
      <c r="K15" s="54"/>
      <c r="L15" s="54" t="s">
        <v>32</v>
      </c>
    </row>
    <row r="17" ht="15.75">
      <c r="B17" s="279" t="str">
        <f>IF(F10&gt;6,"NOTE SERVERBOARD HDD PWR HEADER MAXIMUM 5V CURRENT IS 6A!"," ")</f>
        <v> </v>
      </c>
    </row>
    <row r="24" ht="12.75">
      <c r="B24" s="74"/>
    </row>
  </sheetData>
  <sheetProtection password="DBB7" sheet="1" objects="1" scenarios="1"/>
  <conditionalFormatting sqref="A14:D14">
    <cfRule type="expression" priority="1" dxfId="3" stopIfTrue="1">
      <formula>OR(OR(OR(OR($F14&lt;0,$G14&lt;0),$I14&lt;0),$L14&lt;0),$C2&lt;0)</formula>
    </cfRule>
  </conditionalFormatting>
  <conditionalFormatting sqref="E14:L14">
    <cfRule type="cellIs" priority="2" dxfId="3" operator="lessThan" stopIfTrue="1">
      <formula>0</formula>
    </cfRule>
    <cfRule type="cellIs" priority="3" dxfId="2" operator="greaterThanOrEqual" stopIfTrue="1">
      <formula>0</formula>
    </cfRule>
  </conditionalFormatting>
  <printOptions/>
  <pageMargins left="0.75" right="0.75" top="1" bottom="1" header="0.5" footer="0.5"/>
  <pageSetup horizontalDpi="600" verticalDpi="600" orientation="landscape" r:id="rId2"/>
  <ignoredErrors>
    <ignoredError sqref="L6" formula="1"/>
  </ignoredErrors>
  <legacyDrawing r:id="rId1"/>
</worksheet>
</file>

<file path=xl/worksheets/sheet5.xml><?xml version="1.0" encoding="utf-8"?>
<worksheet xmlns="http://schemas.openxmlformats.org/spreadsheetml/2006/main" xmlns:r="http://schemas.openxmlformats.org/officeDocument/2006/relationships">
  <sheetPr codeName="Sheet1">
    <pageSetUpPr fitToPage="1"/>
  </sheetPr>
  <dimension ref="A1:T30"/>
  <sheetViews>
    <sheetView showGridLines="0" showRowColHeaders="0" zoomScale="85" zoomScaleNormal="85" zoomScalePageLayoutView="0" workbookViewId="0" topLeftCell="A1">
      <selection activeCell="A3" sqref="A3"/>
    </sheetView>
  </sheetViews>
  <sheetFormatPr defaultColWidth="8.8515625" defaultRowHeight="12.75"/>
  <cols>
    <col min="1" max="1" width="27.140625" style="6" customWidth="1"/>
    <col min="2" max="2" width="26.421875" style="6" customWidth="1"/>
    <col min="3" max="3" width="6.8515625" style="6" customWidth="1"/>
    <col min="4" max="5" width="7.140625" style="6" hidden="1" customWidth="1"/>
    <col min="6" max="6" width="8.28125" style="6" customWidth="1"/>
    <col min="7" max="9" width="7.140625" style="6" customWidth="1"/>
    <col min="10" max="10" width="7.140625" style="6" hidden="1" customWidth="1"/>
    <col min="11" max="11" width="9.421875" style="6" customWidth="1"/>
    <col min="12" max="12" width="9.28125" style="6" customWidth="1"/>
    <col min="13" max="13" width="11.140625" style="6" hidden="1" customWidth="1"/>
    <col min="14" max="15" width="8.8515625" style="6" hidden="1" customWidth="1"/>
    <col min="16" max="16384" width="8.8515625" style="6" customWidth="1"/>
  </cols>
  <sheetData>
    <row r="1" spans="1:15" ht="36.75" customHeight="1" thickBot="1">
      <c r="A1" s="109" t="s">
        <v>24</v>
      </c>
      <c r="B1" s="302" t="str">
        <f>CONCATENATE(INDEX(Serverboard!A$2:A$13,$B7)," Configuration")</f>
        <v>S5500WB12V Serverboard Configuration</v>
      </c>
      <c r="C1" s="303"/>
      <c r="D1" s="303"/>
      <c r="E1" s="303"/>
      <c r="F1" s="303"/>
      <c r="G1" s="303"/>
      <c r="H1" s="303"/>
      <c r="I1" s="303"/>
      <c r="J1" s="303"/>
      <c r="K1" s="304"/>
      <c r="L1" s="68"/>
      <c r="M1" s="195" t="s">
        <v>99</v>
      </c>
      <c r="N1" s="196" t="s">
        <v>100</v>
      </c>
      <c r="O1" s="196" t="s">
        <v>101</v>
      </c>
    </row>
    <row r="2" spans="1:15" ht="39" customHeight="1" thickBot="1">
      <c r="A2" s="110" t="s">
        <v>23</v>
      </c>
      <c r="B2" s="69" t="s">
        <v>0</v>
      </c>
      <c r="C2" s="32"/>
      <c r="D2" s="167" t="s">
        <v>20</v>
      </c>
      <c r="E2" s="167" t="s">
        <v>21</v>
      </c>
      <c r="F2" s="33" t="s">
        <v>22</v>
      </c>
      <c r="G2" s="33" t="s">
        <v>174</v>
      </c>
      <c r="H2" s="33" t="s">
        <v>175</v>
      </c>
      <c r="I2" s="33" t="s">
        <v>127</v>
      </c>
      <c r="J2" s="167" t="s">
        <v>86</v>
      </c>
      <c r="K2" s="34" t="s">
        <v>47</v>
      </c>
      <c r="L2" s="70"/>
      <c r="M2" s="197">
        <v>0.9</v>
      </c>
      <c r="N2" s="197">
        <f>INDEX(Serverboard!I$2:I$11,$B7)</f>
        <v>0.95</v>
      </c>
      <c r="O2" s="197">
        <f>INDEX(Serverboard!J$2:J$11,$B7)</f>
        <v>0.92</v>
      </c>
    </row>
    <row r="3" spans="1:15" ht="19.5" customHeight="1">
      <c r="A3" s="267" t="s">
        <v>185</v>
      </c>
      <c r="B3" s="111">
        <v>1</v>
      </c>
      <c r="C3" s="28"/>
      <c r="D3" s="183"/>
      <c r="E3" s="183"/>
      <c r="F3" s="97"/>
      <c r="G3" s="97">
        <f>(C4-1)*INDEX(Processors!B$2:B$31,$B3)/12/VRMefficiency*0.8</f>
        <v>0</v>
      </c>
      <c r="H3" s="183"/>
      <c r="I3" s="97"/>
      <c r="J3" s="183"/>
      <c r="K3" s="11">
        <f>G3*12</f>
        <v>0</v>
      </c>
      <c r="L3" s="42" t="s">
        <v>72</v>
      </c>
      <c r="M3" s="36"/>
      <c r="N3" s="36"/>
      <c r="O3" s="30"/>
    </row>
    <row r="4" spans="1:15" ht="19.5" customHeight="1">
      <c r="A4" s="12"/>
      <c r="B4" s="49" t="s">
        <v>28</v>
      </c>
      <c r="C4" s="139">
        <v>1</v>
      </c>
      <c r="D4" s="183"/>
      <c r="E4" s="183"/>
      <c r="F4" s="97"/>
      <c r="G4" s="183"/>
      <c r="H4" s="183"/>
      <c r="I4" s="97"/>
      <c r="J4" s="183"/>
      <c r="K4" s="11"/>
      <c r="M4" s="35"/>
      <c r="N4" s="36"/>
      <c r="O4" s="30"/>
    </row>
    <row r="5" spans="1:15" ht="19.5" customHeight="1">
      <c r="A5" s="267" t="s">
        <v>184</v>
      </c>
      <c r="B5" s="111">
        <v>1</v>
      </c>
      <c r="C5" s="28"/>
      <c r="D5" s="183"/>
      <c r="E5" s="183"/>
      <c r="F5" s="97"/>
      <c r="G5" s="183"/>
      <c r="H5" s="97">
        <f>(C6-1)*INDEX(Processors!B$2:B$31,$B5)/12/VRMefficiency*0.8</f>
        <v>0</v>
      </c>
      <c r="I5" s="97"/>
      <c r="J5" s="183"/>
      <c r="K5" s="11">
        <f>H5*12</f>
        <v>0</v>
      </c>
      <c r="L5" s="42" t="s">
        <v>72</v>
      </c>
      <c r="M5" s="36"/>
      <c r="N5" s="36"/>
      <c r="O5" s="30"/>
    </row>
    <row r="6" spans="1:15" ht="19.5" customHeight="1">
      <c r="A6" s="12"/>
      <c r="B6" s="49">
        <v>22</v>
      </c>
      <c r="C6" s="139">
        <v>1</v>
      </c>
      <c r="D6" s="183"/>
      <c r="E6" s="183"/>
      <c r="F6" s="97"/>
      <c r="G6" s="183"/>
      <c r="H6" s="183"/>
      <c r="I6" s="97"/>
      <c r="J6" s="183"/>
      <c r="K6" s="11"/>
      <c r="M6" s="35"/>
      <c r="N6" s="36"/>
      <c r="O6" s="30"/>
    </row>
    <row r="7" spans="1:15" ht="19.5" customHeight="1">
      <c r="A7" s="12">
        <v>22</v>
      </c>
      <c r="B7" s="99">
        <v>2</v>
      </c>
      <c r="C7" s="28"/>
      <c r="D7" s="183">
        <f>INDEX(Serverboard!B$2:B$13,$B7)*1</f>
        <v>0</v>
      </c>
      <c r="E7" s="183">
        <f>INDEX(Serverboard!C$2:C$13,$B7)*1</f>
        <v>0</v>
      </c>
      <c r="F7" s="97">
        <f>INDEX(Serverboard!D$2:D$13,$B7)*1</f>
        <v>2</v>
      </c>
      <c r="G7" s="183"/>
      <c r="H7" s="183"/>
      <c r="I7" s="97">
        <f>INDEX(Serverboard!F$2:F$13,$B7)*1</f>
        <v>1</v>
      </c>
      <c r="J7" s="183"/>
      <c r="K7" s="11">
        <f>INDEX(Serverboard!G$2:G$13,$B7)*1</f>
        <v>29</v>
      </c>
      <c r="L7" s="42"/>
      <c r="M7" s="30"/>
      <c r="N7" s="30"/>
      <c r="O7" s="30"/>
    </row>
    <row r="8" spans="1:15" ht="19.5" customHeight="1">
      <c r="A8" s="12" t="s">
        <v>148</v>
      </c>
      <c r="B8" s="99">
        <v>2</v>
      </c>
      <c r="C8" s="111">
        <v>2</v>
      </c>
      <c r="D8" s="183"/>
      <c r="E8" s="183"/>
      <c r="F8" s="97"/>
      <c r="G8" s="97">
        <f>IF(C8=1,0,((HLOOKUP(INDEX(Memory!A30:A40,$C8),Memory!B3:K20,B8+2,FALSE))/12/0.87))</f>
        <v>0.41896551724137937</v>
      </c>
      <c r="H8" s="183"/>
      <c r="I8" s="97"/>
      <c r="J8" s="183"/>
      <c r="K8" s="11">
        <f>G8*12</f>
        <v>5.027586206896553</v>
      </c>
      <c r="L8" s="42" t="s">
        <v>72</v>
      </c>
      <c r="M8" s="30"/>
      <c r="N8" s="30"/>
      <c r="O8" s="30"/>
    </row>
    <row r="9" spans="1:15" ht="19.5" customHeight="1">
      <c r="A9" s="12" t="s">
        <v>147</v>
      </c>
      <c r="B9" s="111">
        <v>2</v>
      </c>
      <c r="C9" s="111">
        <v>2</v>
      </c>
      <c r="D9" s="183"/>
      <c r="E9" s="183"/>
      <c r="F9" s="97"/>
      <c r="G9" s="183"/>
      <c r="H9" s="275">
        <f>IF(C9=1,0,((HLOOKUP(INDEX(Memory!A30:A40,$C9),Memory!B3:K20,B9+2,FALSE))/12/0.87))</f>
        <v>0.41896551724137937</v>
      </c>
      <c r="I9" s="97"/>
      <c r="J9" s="183"/>
      <c r="K9" s="11">
        <f>H9*12</f>
        <v>5.027586206896553</v>
      </c>
      <c r="L9" s="42" t="s">
        <v>72</v>
      </c>
      <c r="M9" s="36"/>
      <c r="N9" s="30"/>
      <c r="O9" s="30"/>
    </row>
    <row r="10" spans="1:15" ht="19.5" customHeight="1">
      <c r="A10" s="12" t="s">
        <v>196</v>
      </c>
      <c r="B10" s="111">
        <v>2</v>
      </c>
      <c r="C10" s="28"/>
      <c r="D10" s="183">
        <f>INDEX(PCI!B$2:B$19,$B10)</f>
        <v>0.5</v>
      </c>
      <c r="E10" s="183">
        <f>INDEX(PCI!C$2:C$19,$B10)</f>
        <v>0</v>
      </c>
      <c r="F10" s="97">
        <f>INDEX(PCI!D$2:D$19,$B10)+((D10*3.3)/12)/$N$2+((E10*5)/12)/$O$2</f>
        <v>0.4447368421052631</v>
      </c>
      <c r="G10" s="183"/>
      <c r="H10" s="183"/>
      <c r="I10" s="97"/>
      <c r="J10" s="183"/>
      <c r="K10" s="97">
        <f aca="true" t="shared" si="0" ref="K10:K15">F10*12</f>
        <v>5.336842105263157</v>
      </c>
      <c r="L10" s="280" t="str">
        <f>IF(INDEX('Chassis Definition'!$B$3:$B$10,'Configure System'!$B3)="1U","THIS PCI SLOT NOT SUPPORTED BY SELECTED CHASSIS!"," ")</f>
        <v> </v>
      </c>
      <c r="M10" s="30"/>
      <c r="N10" s="30"/>
      <c r="O10" s="30"/>
    </row>
    <row r="11" spans="1:13" ht="19.5" customHeight="1">
      <c r="A11" s="12" t="s">
        <v>133</v>
      </c>
      <c r="B11" s="111">
        <v>3</v>
      </c>
      <c r="C11" s="28"/>
      <c r="D11" s="183">
        <f>INDEX(PCI!B$2:B$19,$B11)</f>
        <v>0.85</v>
      </c>
      <c r="E11" s="183">
        <f>INDEX(PCI!C$2:C$19,$B11)</f>
        <v>0</v>
      </c>
      <c r="F11" s="97">
        <f>INDEX(PCI!D$2:D$19,$B11)+((D11*3.3)/12)/$N$2+((E11*5)/12)/$O$2</f>
        <v>0.8460526315789474</v>
      </c>
      <c r="G11" s="183"/>
      <c r="H11" s="183"/>
      <c r="I11" s="97"/>
      <c r="J11" s="183"/>
      <c r="K11" s="97">
        <f t="shared" si="0"/>
        <v>10.152631578947368</v>
      </c>
      <c r="L11" s="281"/>
      <c r="M11" s="72"/>
    </row>
    <row r="12" spans="1:13" ht="19.5" customHeight="1">
      <c r="A12" s="12" t="s">
        <v>134</v>
      </c>
      <c r="B12" s="111">
        <v>1</v>
      </c>
      <c r="C12" s="28"/>
      <c r="D12" s="183">
        <f>INDEX(PCI!B$2:B$19,$B12)</f>
        <v>0</v>
      </c>
      <c r="E12" s="183">
        <f>INDEX(PCI!C$2:C$19,$B12)</f>
        <v>0</v>
      </c>
      <c r="F12" s="97">
        <f>INDEX(PCI!D$2:D$19,$B12)+((D12*3.3)/12)/$N$2+((E12*5)/12)/$O$2</f>
        <v>0</v>
      </c>
      <c r="G12" s="183"/>
      <c r="H12" s="183"/>
      <c r="I12" s="97"/>
      <c r="J12" s="183"/>
      <c r="K12" s="97">
        <f t="shared" si="0"/>
        <v>0</v>
      </c>
      <c r="L12" s="280" t="str">
        <f>IF(INDEX('Chassis Definition'!$B$3:$B$10,'Configure System'!$B3)="1U","THIS PCI SLOT NOT SUPPORTED BY SELECTED CHASSIS!"," ")</f>
        <v> </v>
      </c>
      <c r="M12" s="72"/>
    </row>
    <row r="13" spans="1:13" ht="19.5" customHeight="1">
      <c r="A13" s="12" t="s">
        <v>197</v>
      </c>
      <c r="B13" s="111">
        <v>1</v>
      </c>
      <c r="C13" s="28"/>
      <c r="D13" s="183">
        <f>INDEX(PCI!B$2:B$19,$B13)</f>
        <v>0</v>
      </c>
      <c r="E13" s="183">
        <f>INDEX(PCI!C$2:C$19,$B13)</f>
        <v>0</v>
      </c>
      <c r="F13" s="97">
        <f>INDEX(PCI!D$2:D$19,$B13)+((D13*3.3)/12)/$N$2+((E13*5)/12)/$O$2</f>
        <v>0</v>
      </c>
      <c r="G13" s="183"/>
      <c r="H13" s="183"/>
      <c r="I13" s="97"/>
      <c r="J13" s="183"/>
      <c r="K13" s="97">
        <f t="shared" si="0"/>
        <v>0</v>
      </c>
      <c r="L13" s="280" t="str">
        <f>IF(INDEX('Chassis Definition'!$B$3:$B$10,'Configure System'!$B3)="1U","THIS PCI SLOT NOT SUPPORTED BY SELECTED CHASSIS!"," ")</f>
        <v> </v>
      </c>
      <c r="M13" s="72"/>
    </row>
    <row r="14" spans="1:13" ht="19.5" customHeight="1">
      <c r="A14" s="12" t="s">
        <v>188</v>
      </c>
      <c r="B14" s="111">
        <v>1</v>
      </c>
      <c r="C14" s="28"/>
      <c r="D14" s="183">
        <f>INDEX(PCI!B$32:B$33,$B14)</f>
        <v>0</v>
      </c>
      <c r="E14" s="183">
        <f>INDEX(PCI!C$32:C$33,$B14)</f>
        <v>0</v>
      </c>
      <c r="F14" s="97">
        <f>INDEX(PCI!D$32:D$33,$B14)+((D14*3.3)/12)/$N$2+((E14*5)/12)/$O$2</f>
        <v>0</v>
      </c>
      <c r="G14" s="183"/>
      <c r="H14" s="183"/>
      <c r="I14" s="97"/>
      <c r="J14" s="183"/>
      <c r="K14" s="11">
        <f t="shared" si="0"/>
        <v>0</v>
      </c>
      <c r="L14" s="30"/>
      <c r="M14" s="72"/>
    </row>
    <row r="15" spans="1:13" ht="19.5" customHeight="1">
      <c r="A15" s="12" t="s">
        <v>129</v>
      </c>
      <c r="B15" s="111">
        <v>1</v>
      </c>
      <c r="C15" s="28"/>
      <c r="D15" s="183">
        <f>INDEX(PCI!B$21:B$30,$B15)</f>
        <v>0</v>
      </c>
      <c r="E15" s="183">
        <f>INDEX(PCI!C$21:C$30,$B15)</f>
        <v>0</v>
      </c>
      <c r="F15" s="97">
        <f>INDEX(PCI!D$21:D$30,$B15)+((D15*3.3)/12)/$N$2+((E15*5)/12)/$O$2</f>
        <v>0</v>
      </c>
      <c r="G15" s="183"/>
      <c r="H15" s="183"/>
      <c r="I15" s="97"/>
      <c r="J15" s="183"/>
      <c r="K15" s="11">
        <f t="shared" si="0"/>
        <v>0</v>
      </c>
      <c r="L15" s="30"/>
      <c r="M15" s="72"/>
    </row>
    <row r="16" spans="1:12" ht="12.75" customHeight="1">
      <c r="A16" s="101"/>
      <c r="B16" s="102" t="s">
        <v>50</v>
      </c>
      <c r="C16" s="140"/>
      <c r="D16" s="171"/>
      <c r="E16" s="171"/>
      <c r="F16" s="41">
        <f>SUM(F3:F15)</f>
        <v>3.2907894736842103</v>
      </c>
      <c r="G16" s="41">
        <f>SUM(G3:G15)</f>
        <v>0.41896551724137937</v>
      </c>
      <c r="H16" s="41">
        <f>SUM(H5:H15)</f>
        <v>0.41896551724137937</v>
      </c>
      <c r="I16" s="41">
        <f>SUM(I5:I15)</f>
        <v>1</v>
      </c>
      <c r="J16" s="171"/>
      <c r="K16" s="112">
        <f>SUM(K3:K15)</f>
        <v>54.544646098003625</v>
      </c>
      <c r="L16" s="121"/>
    </row>
    <row r="17" spans="1:12" s="10" customFormat="1" ht="12.75">
      <c r="A17" s="101"/>
      <c r="B17" s="7" t="s">
        <v>51</v>
      </c>
      <c r="C17" s="8"/>
      <c r="D17" s="172"/>
      <c r="E17" s="172"/>
      <c r="F17" s="9">
        <f>(F16)*12</f>
        <v>39.48947368421052</v>
      </c>
      <c r="G17" s="9">
        <f>(G16)*12</f>
        <v>5.027586206896553</v>
      </c>
      <c r="H17" s="9">
        <f>(H16)*12</f>
        <v>5.027586206896553</v>
      </c>
      <c r="I17" s="9">
        <f>(I16)*5</f>
        <v>5</v>
      </c>
      <c r="J17" s="172"/>
      <c r="K17" s="113">
        <f>SUM(D17:I17)</f>
        <v>54.544646098003625</v>
      </c>
      <c r="L17" s="73"/>
    </row>
    <row r="18" spans="1:11" ht="12.75">
      <c r="A18" s="12"/>
      <c r="B18" s="49" t="s">
        <v>36</v>
      </c>
      <c r="C18" s="49"/>
      <c r="D18" s="173"/>
      <c r="E18" s="173"/>
      <c r="F18" s="50">
        <f>Summary!D11</f>
        <v>3.2907894736842103</v>
      </c>
      <c r="G18" s="50">
        <f>Summary!E11</f>
        <v>0.41896551724137937</v>
      </c>
      <c r="H18" s="50">
        <f>Summary!F11</f>
        <v>0.41896551724137937</v>
      </c>
      <c r="I18" s="50">
        <f>Summary!G11</f>
        <v>1</v>
      </c>
      <c r="J18" s="173"/>
      <c r="K18" s="103">
        <f>Summary!I11</f>
        <v>54.54464609800363</v>
      </c>
    </row>
    <row r="19" spans="1:20" ht="12.75">
      <c r="A19" s="12"/>
      <c r="B19" s="49" t="str">
        <f>TEXT(INDEX(Summary!M23:M25,Summary!D23),"###")&amp;"VAC Power Supply DC Limits:"</f>
        <v>115VAC Power Supply DC Limits:</v>
      </c>
      <c r="C19" s="51"/>
      <c r="D19" s="174"/>
      <c r="E19" s="174"/>
      <c r="F19" s="51">
        <f>INDEX('Chassis Definition'!D$3:D$10,'Configure System'!$B3)</f>
        <v>0</v>
      </c>
      <c r="G19" s="51">
        <f>INDEX('Chassis Definition'!E$3:E$10,'Configure System'!$B3)</f>
        <v>0</v>
      </c>
      <c r="H19" s="51">
        <f>INDEX('Chassis Definition'!F$3:F$10,'Configure System'!$B3)</f>
        <v>0</v>
      </c>
      <c r="I19" s="51">
        <f>INDEX('Chassis Definition'!G$3:G$10,'Configure System'!$B3)</f>
        <v>0</v>
      </c>
      <c r="J19" s="174"/>
      <c r="K19" s="104">
        <f>ps1CombLim</f>
        <v>0</v>
      </c>
      <c r="L19" s="273"/>
      <c r="M19" s="271"/>
      <c r="N19" s="271"/>
      <c r="O19" s="271"/>
      <c r="P19" s="271"/>
      <c r="Q19" s="271"/>
      <c r="R19" s="271"/>
      <c r="S19" s="271"/>
      <c r="T19" s="271"/>
    </row>
    <row r="20" spans="1:12" ht="15.75">
      <c r="A20" s="114"/>
      <c r="B20" s="106"/>
      <c r="C20" s="106" t="s">
        <v>54</v>
      </c>
      <c r="D20" s="115"/>
      <c r="E20" s="115"/>
      <c r="F20" s="115">
        <f aca="true" t="shared" si="1" ref="F20:K20">F19-F18</f>
        <v>-3.2907894736842103</v>
      </c>
      <c r="G20" s="115">
        <f t="shared" si="1"/>
        <v>-0.41896551724137937</v>
      </c>
      <c r="H20" s="115">
        <f t="shared" si="1"/>
        <v>-0.41896551724137937</v>
      </c>
      <c r="I20" s="115">
        <f t="shared" si="1"/>
        <v>-1</v>
      </c>
      <c r="J20" s="115">
        <f t="shared" si="1"/>
        <v>0</v>
      </c>
      <c r="K20" s="115">
        <f t="shared" si="1"/>
        <v>-54.54464609800363</v>
      </c>
      <c r="L20" s="27" t="str">
        <f>IF(OR(OR(OR(D20&lt;0,E20&lt;0),OR(F20&lt;0,H20&lt;0)),A20&lt;0),"&lt;-- Limits Exceeded!","&lt;--System Margins")</f>
        <v>&lt;-- Limits Exceeded!</v>
      </c>
    </row>
    <row r="21" spans="4:10" ht="12.75">
      <c r="D21" s="74"/>
      <c r="E21" s="74"/>
      <c r="F21" s="74"/>
      <c r="G21" s="74"/>
      <c r="H21" s="74"/>
      <c r="I21" s="74"/>
      <c r="J21" s="74"/>
    </row>
    <row r="22" spans="4:6" ht="12.75">
      <c r="D22" s="74"/>
      <c r="E22" s="75"/>
      <c r="F22" s="74"/>
    </row>
    <row r="23" ht="12.75">
      <c r="C23" s="71"/>
    </row>
    <row r="24" spans="1:6" ht="12.75">
      <c r="A24" s="83"/>
      <c r="B24" s="37"/>
      <c r="C24" s="37"/>
      <c r="D24" s="73"/>
      <c r="E24" s="73"/>
      <c r="F24" s="73"/>
    </row>
    <row r="25" spans="1:5" ht="12.75">
      <c r="A25" s="37"/>
      <c r="B25" s="37"/>
      <c r="C25" s="73"/>
      <c r="D25" s="73"/>
      <c r="E25" s="73"/>
    </row>
    <row r="26" spans="2:6" ht="12.75">
      <c r="B26" s="37"/>
      <c r="C26" s="37"/>
      <c r="D26" s="73"/>
      <c r="E26" s="73"/>
      <c r="F26" s="73"/>
    </row>
    <row r="27" spans="2:6" ht="12.75">
      <c r="B27" s="37"/>
      <c r="C27" s="37"/>
      <c r="D27" s="73"/>
      <c r="E27" s="73"/>
      <c r="F27" s="73"/>
    </row>
    <row r="28" spans="2:6" ht="12.75">
      <c r="B28" s="37"/>
      <c r="C28" s="37"/>
      <c r="D28" s="73"/>
      <c r="E28" s="73"/>
      <c r="F28" s="73"/>
    </row>
    <row r="29" spans="2:6" ht="12.75">
      <c r="B29" s="37"/>
      <c r="C29" s="37"/>
      <c r="D29" s="73"/>
      <c r="E29" s="76"/>
      <c r="F29" s="76"/>
    </row>
    <row r="30" spans="2:6" ht="12.75">
      <c r="B30" s="37"/>
      <c r="C30" s="37"/>
      <c r="D30" s="73"/>
      <c r="E30" s="73"/>
      <c r="F30" s="73"/>
    </row>
  </sheetData>
  <sheetProtection password="DBB7" sheet="1" objects="1" scenarios="1"/>
  <mergeCells count="1">
    <mergeCell ref="B1:K1"/>
  </mergeCells>
  <conditionalFormatting sqref="D7:K7">
    <cfRule type="expression" priority="1" dxfId="0" stopIfTrue="1">
      <formula>AND($C2&gt;3,$B7=3)</formula>
    </cfRule>
  </conditionalFormatting>
  <conditionalFormatting sqref="A28">
    <cfRule type="expression" priority="2" dxfId="3" stopIfTrue="1">
      <formula>OR(OR(OR(OR(D27&lt;0,E27&lt;0),F27&lt;0),H27&lt;0),B27&lt;0)</formula>
    </cfRule>
  </conditionalFormatting>
  <conditionalFormatting sqref="A26">
    <cfRule type="expression" priority="3" dxfId="3" stopIfTrue="1">
      <formula>OR(OR(OR(OR(B26&lt;0,C26&lt;0),D26&lt;0),E26&lt;0),F26&lt;0)</formula>
    </cfRule>
  </conditionalFormatting>
  <conditionalFormatting sqref="B21">
    <cfRule type="expression" priority="4" dxfId="3" stopIfTrue="1">
      <formula>OR(OR(OR(OR(D21&lt;0,E21&lt;0),F21&lt;0),H21&lt;0),C21&lt;0)</formula>
    </cfRule>
  </conditionalFormatting>
  <conditionalFormatting sqref="A21">
    <cfRule type="expression" priority="5" dxfId="0" stopIfTrue="1">
      <formula>OR(OR(OR(OR(D21&lt;0,E21&lt;0),F21&lt;0),H21&lt;0),K21&lt;0)</formula>
    </cfRule>
  </conditionalFormatting>
  <conditionalFormatting sqref="A20:C20">
    <cfRule type="expression" priority="6" dxfId="3" stopIfTrue="1">
      <formula>OR(OR(OR(OR($E20&lt;0,$F20&lt;0),$H20&lt;0),$I20&lt;0),$C9&lt;0)</formula>
    </cfRule>
  </conditionalFormatting>
  <conditionalFormatting sqref="H26:K26 B26 D26:F26 B27:F27 H27:J27 G26:G27 D20:K21">
    <cfRule type="cellIs" priority="7" dxfId="3" operator="lessThan" stopIfTrue="1">
      <formula>0</formula>
    </cfRule>
    <cfRule type="cellIs" priority="8" dxfId="2" operator="greaterThanOrEqual" stopIfTrue="1">
      <formula>0</formula>
    </cfRule>
  </conditionalFormatting>
  <dataValidations count="1">
    <dataValidation allowBlank="1" showInputMessage="1" showErrorMessage="1" prompt="if proc installed&#10;" sqref="B31"/>
  </dataValidations>
  <printOptions/>
  <pageMargins left="0.75" right="0.75" top="1" bottom="1" header="0.5" footer="0.5"/>
  <pageSetup fitToHeight="1" fitToWidth="1" horizontalDpi="300" verticalDpi="300" orientation="landscape" scale="62" r:id="rId2"/>
  <headerFooter alignWithMargins="0">
    <oddHeader>&amp;C&amp;A</oddHeader>
    <oddFooter>&amp;CPage &amp;P</oddFooter>
  </headerFooter>
  <legacyDrawing r:id="rId1"/>
</worksheet>
</file>

<file path=xl/worksheets/sheet6.xml><?xml version="1.0" encoding="utf-8"?>
<worksheet xmlns="http://schemas.openxmlformats.org/spreadsheetml/2006/main" xmlns:r="http://schemas.openxmlformats.org/officeDocument/2006/relationships">
  <sheetPr codeName="Sheet22"/>
  <dimension ref="A1:M13"/>
  <sheetViews>
    <sheetView showRowColHeaders="0" zoomScale="85" zoomScaleNormal="85" zoomScalePageLayoutView="0" workbookViewId="0" topLeftCell="A1">
      <selection activeCell="J32" sqref="J32"/>
    </sheetView>
  </sheetViews>
  <sheetFormatPr defaultColWidth="8.8515625" defaultRowHeight="12.75"/>
  <cols>
    <col min="1" max="1" width="29.140625" style="6" customWidth="1"/>
    <col min="2" max="2" width="6.140625" style="6" hidden="1" customWidth="1"/>
    <col min="3" max="3" width="6.7109375" style="6" hidden="1" customWidth="1"/>
    <col min="4" max="4" width="5.7109375" style="6" customWidth="1"/>
    <col min="5" max="5" width="6.140625" style="6" hidden="1" customWidth="1"/>
    <col min="6" max="6" width="5.8515625" style="6" customWidth="1"/>
    <col min="7" max="7" width="6.140625" style="6" customWidth="1"/>
    <col min="8" max="10" width="7.28125" style="6" customWidth="1"/>
    <col min="11" max="11" width="43.28125" style="6" customWidth="1"/>
    <col min="12" max="12" width="10.421875" style="6" customWidth="1"/>
    <col min="13" max="16384" width="8.8515625" style="6" customWidth="1"/>
  </cols>
  <sheetData>
    <row r="1" spans="1:12" ht="28.5" customHeight="1" thickBot="1">
      <c r="A1" s="164" t="s">
        <v>38</v>
      </c>
      <c r="B1" s="186">
        <v>3.3</v>
      </c>
      <c r="C1" s="186">
        <v>5</v>
      </c>
      <c r="D1" s="18" t="s">
        <v>176</v>
      </c>
      <c r="E1" s="190">
        <v>-12</v>
      </c>
      <c r="F1" s="18" t="s">
        <v>125</v>
      </c>
      <c r="G1" s="18" t="s">
        <v>40</v>
      </c>
      <c r="H1" s="177" t="s">
        <v>102</v>
      </c>
      <c r="I1" s="177" t="s">
        <v>103</v>
      </c>
      <c r="J1" s="177" t="s">
        <v>104</v>
      </c>
      <c r="K1" s="77"/>
      <c r="L1" s="78"/>
    </row>
    <row r="2" spans="1:10" ht="12.75">
      <c r="A2" s="165" t="s">
        <v>91</v>
      </c>
      <c r="B2" s="187"/>
      <c r="C2" s="187"/>
      <c r="D2" s="5"/>
      <c r="E2" s="187"/>
      <c r="F2" s="5"/>
      <c r="G2" s="29"/>
      <c r="H2" s="166">
        <v>1</v>
      </c>
      <c r="I2" s="166">
        <v>1</v>
      </c>
      <c r="J2" s="166">
        <v>1</v>
      </c>
    </row>
    <row r="3" spans="1:13" ht="12.75">
      <c r="A3" s="165" t="s">
        <v>132</v>
      </c>
      <c r="B3" s="187">
        <v>0</v>
      </c>
      <c r="C3" s="187">
        <v>0</v>
      </c>
      <c r="D3" s="5">
        <v>2</v>
      </c>
      <c r="E3" s="187">
        <v>0</v>
      </c>
      <c r="F3" s="199">
        <v>1</v>
      </c>
      <c r="G3" s="29">
        <f aca="true" t="shared" si="0" ref="G3:G11">B3*3.3+C3*5+D3*12+E3*12+F3*5</f>
        <v>29</v>
      </c>
      <c r="H3" s="182">
        <v>0.9</v>
      </c>
      <c r="I3" s="182">
        <v>0.95</v>
      </c>
      <c r="J3" s="182">
        <v>0.92</v>
      </c>
      <c r="K3" s="6" t="s">
        <v>88</v>
      </c>
      <c r="L3" s="30"/>
      <c r="M3" s="83"/>
    </row>
    <row r="4" spans="1:13" ht="12.75">
      <c r="A4" s="144"/>
      <c r="B4" s="188"/>
      <c r="C4" s="188"/>
      <c r="D4" s="142"/>
      <c r="E4" s="188"/>
      <c r="F4" s="142"/>
      <c r="G4" s="29">
        <f>B4*3.3+C4*5+D4*12+E4*12+F4*5</f>
        <v>0</v>
      </c>
      <c r="H4" s="156">
        <v>0.8</v>
      </c>
      <c r="I4" s="156">
        <v>0.8</v>
      </c>
      <c r="J4" s="156">
        <v>0.8</v>
      </c>
      <c r="K4" s="16" t="s">
        <v>4</v>
      </c>
      <c r="L4" s="30"/>
      <c r="M4" s="83"/>
    </row>
    <row r="5" spans="1:13" ht="12.75">
      <c r="A5" s="144"/>
      <c r="B5" s="188"/>
      <c r="C5" s="188"/>
      <c r="D5" s="142"/>
      <c r="E5" s="188"/>
      <c r="F5" s="142"/>
      <c r="G5" s="29">
        <f>B5*3.3+C5*5+D5*12+E5*12+F5*5</f>
        <v>0</v>
      </c>
      <c r="H5" s="156">
        <v>0.8</v>
      </c>
      <c r="I5" s="156">
        <v>0.8</v>
      </c>
      <c r="J5" s="156">
        <v>0.8</v>
      </c>
      <c r="K5" s="16" t="s">
        <v>4</v>
      </c>
      <c r="L5" s="30"/>
      <c r="M5" s="83"/>
    </row>
    <row r="6" spans="1:13" ht="12.75">
      <c r="A6" s="144"/>
      <c r="B6" s="188"/>
      <c r="C6" s="188"/>
      <c r="D6" s="142"/>
      <c r="E6" s="188"/>
      <c r="F6" s="142"/>
      <c r="G6" s="29">
        <f>B6*3.3+C6*5+D6*12+E6*12+F6*5</f>
        <v>0</v>
      </c>
      <c r="H6" s="156">
        <v>0.8</v>
      </c>
      <c r="I6" s="156">
        <v>0.8</v>
      </c>
      <c r="J6" s="156">
        <v>0.8</v>
      </c>
      <c r="K6" s="16" t="s">
        <v>4</v>
      </c>
      <c r="L6" s="30"/>
      <c r="M6" s="83"/>
    </row>
    <row r="7" spans="1:12" ht="12.75">
      <c r="A7" s="144"/>
      <c r="B7" s="188"/>
      <c r="C7" s="188"/>
      <c r="D7" s="142"/>
      <c r="E7" s="188"/>
      <c r="F7" s="142"/>
      <c r="G7" s="29">
        <f>B7*3.3+C7*5+D7*12+E7*12+F7*5</f>
        <v>0</v>
      </c>
      <c r="H7" s="156">
        <v>0.8</v>
      </c>
      <c r="I7" s="156">
        <v>0.8</v>
      </c>
      <c r="J7" s="156">
        <v>0.8</v>
      </c>
      <c r="K7" s="16" t="s">
        <v>4</v>
      </c>
      <c r="L7" s="86"/>
    </row>
    <row r="8" spans="1:12" ht="12.75">
      <c r="A8" s="144"/>
      <c r="B8" s="188"/>
      <c r="C8" s="188"/>
      <c r="D8" s="142"/>
      <c r="E8" s="188"/>
      <c r="F8" s="142"/>
      <c r="G8" s="29">
        <f t="shared" si="0"/>
        <v>0</v>
      </c>
      <c r="H8" s="156">
        <v>0.8</v>
      </c>
      <c r="I8" s="156">
        <v>0.8</v>
      </c>
      <c r="J8" s="156">
        <v>0.8</v>
      </c>
      <c r="K8" s="16" t="s">
        <v>4</v>
      </c>
      <c r="L8" s="86"/>
    </row>
    <row r="9" spans="1:12" ht="12.75">
      <c r="A9" s="144"/>
      <c r="B9" s="188"/>
      <c r="C9" s="188"/>
      <c r="D9" s="142"/>
      <c r="E9" s="188"/>
      <c r="F9" s="142"/>
      <c r="G9" s="29">
        <f t="shared" si="0"/>
        <v>0</v>
      </c>
      <c r="H9" s="156">
        <v>0.8</v>
      </c>
      <c r="I9" s="156">
        <v>0.8</v>
      </c>
      <c r="J9" s="156">
        <v>0.8</v>
      </c>
      <c r="K9" s="16" t="s">
        <v>4</v>
      </c>
      <c r="L9" s="86"/>
    </row>
    <row r="10" spans="1:12" ht="12.75">
      <c r="A10" s="144"/>
      <c r="B10" s="188"/>
      <c r="C10" s="188"/>
      <c r="D10" s="142"/>
      <c r="E10" s="188"/>
      <c r="F10" s="142"/>
      <c r="G10" s="29">
        <f t="shared" si="0"/>
        <v>0</v>
      </c>
      <c r="H10" s="156">
        <v>0.8</v>
      </c>
      <c r="I10" s="156">
        <v>0.8</v>
      </c>
      <c r="J10" s="156">
        <v>0.8</v>
      </c>
      <c r="K10" s="16" t="s">
        <v>4</v>
      </c>
      <c r="L10" s="86"/>
    </row>
    <row r="11" spans="1:12" ht="12.75">
      <c r="A11" s="154"/>
      <c r="B11" s="189"/>
      <c r="C11" s="189"/>
      <c r="D11" s="155"/>
      <c r="E11" s="189"/>
      <c r="F11" s="155"/>
      <c r="G11" s="163">
        <f t="shared" si="0"/>
        <v>0</v>
      </c>
      <c r="H11" s="156">
        <v>0.8</v>
      </c>
      <c r="I11" s="156">
        <v>0.8</v>
      </c>
      <c r="J11" s="156">
        <v>0.8</v>
      </c>
      <c r="K11" s="16" t="s">
        <v>4</v>
      </c>
      <c r="L11" s="86"/>
    </row>
    <row r="12" spans="8:10" ht="12.75">
      <c r="H12" s="31"/>
      <c r="I12" s="31"/>
      <c r="J12" s="31"/>
    </row>
    <row r="13" spans="8:10" ht="12.75">
      <c r="H13" s="31"/>
      <c r="I13" s="31"/>
      <c r="J13" s="31"/>
    </row>
  </sheetData>
  <sheetProtection password="DBB7" sheet="1" objects="1" scenarios="1"/>
  <conditionalFormatting sqref="B2:F3">
    <cfRule type="expression" priority="1" dxfId="0" stopIfTrue="1">
      <formula>AND($C65536&gt;2,$B2=3)</formula>
    </cfRule>
  </conditionalFormatting>
  <conditionalFormatting sqref="B11:F11">
    <cfRule type="expression" priority="2" dxfId="0" stopIfTrue="1">
      <formula>AND($C10&gt;2,$B11=3)</formula>
    </cfRule>
  </conditionalFormatting>
  <printOptions/>
  <pageMargins left="0.75" right="0.75" top="1" bottom="1" header="0.5" footer="0.5"/>
  <pageSetup horizontalDpi="300" verticalDpi="300" orientation="portrait" r:id="rId2"/>
  <legacyDrawing r:id="rId1"/>
</worksheet>
</file>

<file path=xl/worksheets/sheet7.xml><?xml version="1.0" encoding="utf-8"?>
<worksheet xmlns="http://schemas.openxmlformats.org/spreadsheetml/2006/main" xmlns:r="http://schemas.openxmlformats.org/officeDocument/2006/relationships">
  <sheetPr codeName="Sheet25"/>
  <dimension ref="A1:W32"/>
  <sheetViews>
    <sheetView showRowColHeaders="0" zoomScale="85" zoomScaleNormal="85" zoomScalePageLayoutView="0" workbookViewId="0" topLeftCell="A1">
      <selection activeCell="A2" sqref="A2"/>
    </sheetView>
  </sheetViews>
  <sheetFormatPr defaultColWidth="8.8515625" defaultRowHeight="12.75"/>
  <cols>
    <col min="1" max="1" width="25.8515625" style="6" customWidth="1"/>
    <col min="2" max="2" width="12.00390625" style="6" customWidth="1"/>
    <col min="3" max="3" width="4.8515625" style="6" hidden="1" customWidth="1"/>
    <col min="4" max="4" width="9.421875" style="6" customWidth="1"/>
    <col min="5" max="6" width="10.57421875" style="6" customWidth="1"/>
    <col min="7" max="7" width="6.8515625" style="6" customWidth="1"/>
    <col min="8" max="8" width="6.8515625" style="6" hidden="1" customWidth="1"/>
    <col min="9" max="9" width="8.140625" style="6" bestFit="1" customWidth="1"/>
    <col min="10" max="10" width="5.421875" style="6" customWidth="1"/>
    <col min="11" max="11" width="7.8515625" style="80" hidden="1" customWidth="1"/>
    <col min="12" max="12" width="4.8515625" style="80" bestFit="1" customWidth="1"/>
    <col min="13" max="13" width="8.7109375" style="6" customWidth="1"/>
    <col min="14" max="15" width="8.421875" style="80" bestFit="1" customWidth="1"/>
    <col min="16" max="16" width="16.421875" style="6" hidden="1" customWidth="1"/>
    <col min="17" max="17" width="8.421875" style="6" hidden="1" customWidth="1"/>
    <col min="18" max="18" width="8.8515625" style="6" hidden="1" customWidth="1"/>
    <col min="19" max="19" width="9.00390625" style="6" hidden="1" customWidth="1"/>
    <col min="20" max="22" width="8.140625" style="6" hidden="1" customWidth="1"/>
    <col min="23" max="23" width="32.8515625" style="6" bestFit="1" customWidth="1"/>
    <col min="24" max="16384" width="8.8515625" style="6" customWidth="1"/>
  </cols>
  <sheetData>
    <row r="1" spans="1:23" ht="15.75" customHeight="1" thickBot="1">
      <c r="A1" s="147" t="s">
        <v>39</v>
      </c>
      <c r="B1" s="306" t="s">
        <v>114</v>
      </c>
      <c r="C1" s="305"/>
      <c r="D1" s="305"/>
      <c r="E1" s="305"/>
      <c r="F1" s="305"/>
      <c r="G1" s="305"/>
      <c r="H1" s="191" t="s">
        <v>84</v>
      </c>
      <c r="I1" s="209" t="s">
        <v>85</v>
      </c>
      <c r="J1" s="218" t="s">
        <v>46</v>
      </c>
      <c r="K1" s="176" t="s">
        <v>180</v>
      </c>
      <c r="L1" s="209" t="s">
        <v>76</v>
      </c>
      <c r="M1" s="178" t="s">
        <v>105</v>
      </c>
      <c r="N1" s="305" t="s">
        <v>79</v>
      </c>
      <c r="O1" s="305"/>
      <c r="P1" s="283"/>
      <c r="Q1" s="307"/>
      <c r="R1" s="307"/>
      <c r="S1" s="307"/>
      <c r="T1" s="307"/>
      <c r="U1" s="307"/>
      <c r="V1" s="307"/>
      <c r="W1" s="135"/>
    </row>
    <row r="2" spans="1:23" ht="13.5" thickBot="1">
      <c r="A2" s="148" t="s">
        <v>44</v>
      </c>
      <c r="B2" s="223" t="s">
        <v>198</v>
      </c>
      <c r="C2" s="186" t="s">
        <v>30</v>
      </c>
      <c r="D2" s="18" t="s">
        <v>177</v>
      </c>
      <c r="E2" s="18" t="s">
        <v>178</v>
      </c>
      <c r="F2" s="18" t="s">
        <v>179</v>
      </c>
      <c r="G2" s="176" t="s">
        <v>125</v>
      </c>
      <c r="H2" s="191" t="s">
        <v>83</v>
      </c>
      <c r="I2" s="209" t="s">
        <v>40</v>
      </c>
      <c r="J2" s="18" t="s">
        <v>31</v>
      </c>
      <c r="K2" s="18" t="s">
        <v>181</v>
      </c>
      <c r="L2" s="40" t="s">
        <v>77</v>
      </c>
      <c r="M2" s="18" t="s">
        <v>106</v>
      </c>
      <c r="N2" s="40" t="s">
        <v>80</v>
      </c>
      <c r="O2" s="39" t="s">
        <v>81</v>
      </c>
      <c r="P2" s="284"/>
      <c r="Q2" s="284"/>
      <c r="R2" s="284"/>
      <c r="S2" s="284"/>
      <c r="T2" s="284"/>
      <c r="U2" s="284"/>
      <c r="V2" s="284"/>
      <c r="W2" s="135"/>
    </row>
    <row r="3" spans="1:23" ht="12.75">
      <c r="A3" s="149" t="s">
        <v>92</v>
      </c>
      <c r="B3" s="210"/>
      <c r="C3" s="28"/>
      <c r="D3" s="28"/>
      <c r="E3" s="28"/>
      <c r="F3" s="28"/>
      <c r="G3" s="286"/>
      <c r="H3" s="28"/>
      <c r="I3" s="212"/>
      <c r="J3" s="213"/>
      <c r="K3" s="192"/>
      <c r="L3" s="248">
        <v>99</v>
      </c>
      <c r="M3" s="216">
        <v>1</v>
      </c>
      <c r="N3" s="217">
        <v>1</v>
      </c>
      <c r="O3" s="217">
        <v>1</v>
      </c>
      <c r="P3" s="285"/>
      <c r="Q3" s="285"/>
      <c r="R3" s="285"/>
      <c r="S3" s="285"/>
      <c r="T3" s="285"/>
      <c r="U3" s="285"/>
      <c r="V3" s="285"/>
      <c r="W3" s="135"/>
    </row>
    <row r="4" spans="1:23" ht="12.75">
      <c r="A4" s="150" t="s">
        <v>159</v>
      </c>
      <c r="B4" s="214" t="s">
        <v>199</v>
      </c>
      <c r="C4" s="141"/>
      <c r="D4" s="282">
        <v>12</v>
      </c>
      <c r="E4" s="141">
        <v>12</v>
      </c>
      <c r="F4" s="141">
        <v>12</v>
      </c>
      <c r="G4" s="141">
        <v>2</v>
      </c>
      <c r="H4" s="141"/>
      <c r="I4" s="211">
        <f>D4*12+E4*12+F4*12+G4*5</f>
        <v>442</v>
      </c>
      <c r="J4" s="146">
        <v>4</v>
      </c>
      <c r="K4" s="219"/>
      <c r="L4" s="220">
        <v>4</v>
      </c>
      <c r="M4" s="278">
        <v>0</v>
      </c>
      <c r="N4" s="181">
        <v>0.8</v>
      </c>
      <c r="O4" s="145">
        <v>0.82</v>
      </c>
      <c r="P4" s="271"/>
      <c r="Q4" s="271"/>
      <c r="R4" s="271"/>
      <c r="S4" s="271"/>
      <c r="T4" s="271"/>
      <c r="U4" s="271"/>
      <c r="V4" s="271"/>
      <c r="W4" s="16" t="s">
        <v>4</v>
      </c>
    </row>
    <row r="5" spans="1:23" ht="12.75">
      <c r="A5" s="150" t="s">
        <v>213</v>
      </c>
      <c r="B5" s="214" t="s">
        <v>202</v>
      </c>
      <c r="C5" s="141"/>
      <c r="D5" s="282">
        <v>12</v>
      </c>
      <c r="E5" s="141">
        <v>14</v>
      </c>
      <c r="F5" s="141">
        <v>15</v>
      </c>
      <c r="G5" s="141">
        <v>2</v>
      </c>
      <c r="H5" s="141"/>
      <c r="I5" s="211">
        <f aca="true" t="shared" si="0" ref="I5:I10">D5*12+E5*12+F5*12+G5*5</f>
        <v>502</v>
      </c>
      <c r="J5" s="146">
        <v>3</v>
      </c>
      <c r="K5" s="219"/>
      <c r="L5" s="220">
        <v>5</v>
      </c>
      <c r="M5" s="179">
        <v>0.8</v>
      </c>
      <c r="N5" s="181">
        <v>0.71</v>
      </c>
      <c r="O5" s="145">
        <v>0.75</v>
      </c>
      <c r="P5" s="271"/>
      <c r="Q5" s="271"/>
      <c r="R5" s="271"/>
      <c r="S5" s="271"/>
      <c r="T5" s="271"/>
      <c r="U5" s="271"/>
      <c r="V5" s="271"/>
      <c r="W5" s="16" t="s">
        <v>4</v>
      </c>
    </row>
    <row r="6" spans="1:23" ht="12.75">
      <c r="A6" s="150" t="s">
        <v>19</v>
      </c>
      <c r="B6" s="214"/>
      <c r="C6" s="141"/>
      <c r="D6" s="282"/>
      <c r="E6" s="141"/>
      <c r="F6" s="141"/>
      <c r="G6" s="141"/>
      <c r="H6" s="141"/>
      <c r="I6" s="211">
        <f t="shared" si="0"/>
        <v>0</v>
      </c>
      <c r="J6" s="146"/>
      <c r="K6" s="219"/>
      <c r="L6" s="220"/>
      <c r="M6" s="179">
        <v>0.8</v>
      </c>
      <c r="N6" s="181">
        <v>0.71</v>
      </c>
      <c r="O6" s="145">
        <v>0.75</v>
      </c>
      <c r="P6" s="271"/>
      <c r="Q6" s="271"/>
      <c r="R6" s="271"/>
      <c r="S6" s="271"/>
      <c r="T6" s="271"/>
      <c r="U6" s="271"/>
      <c r="V6" s="271"/>
      <c r="W6" s="16" t="s">
        <v>4</v>
      </c>
    </row>
    <row r="7" spans="1:23" ht="12.75">
      <c r="A7" s="150" t="s">
        <v>19</v>
      </c>
      <c r="B7" s="214"/>
      <c r="C7" s="141"/>
      <c r="D7" s="282"/>
      <c r="E7" s="141"/>
      <c r="F7" s="141"/>
      <c r="G7" s="141"/>
      <c r="H7" s="141"/>
      <c r="I7" s="211">
        <f t="shared" si="0"/>
        <v>0</v>
      </c>
      <c r="J7" s="146"/>
      <c r="K7" s="219"/>
      <c r="L7" s="220"/>
      <c r="M7" s="179">
        <v>0.8</v>
      </c>
      <c r="N7" s="181">
        <v>0.71</v>
      </c>
      <c r="O7" s="145">
        <v>0.75</v>
      </c>
      <c r="P7" s="271"/>
      <c r="Q7" s="271"/>
      <c r="R7" s="271"/>
      <c r="S7" s="271"/>
      <c r="T7" s="271"/>
      <c r="U7" s="271"/>
      <c r="V7" s="271"/>
      <c r="W7" s="16" t="s">
        <v>4</v>
      </c>
    </row>
    <row r="8" spans="1:23" ht="12.75">
      <c r="A8" s="150" t="s">
        <v>19</v>
      </c>
      <c r="B8" s="214"/>
      <c r="C8" s="141"/>
      <c r="D8" s="282"/>
      <c r="E8" s="141"/>
      <c r="F8" s="141"/>
      <c r="G8" s="141"/>
      <c r="H8" s="141"/>
      <c r="I8" s="211">
        <f t="shared" si="0"/>
        <v>0</v>
      </c>
      <c r="J8" s="146"/>
      <c r="K8" s="219"/>
      <c r="L8" s="220"/>
      <c r="M8" s="179">
        <v>0.8</v>
      </c>
      <c r="N8" s="181">
        <v>0.71</v>
      </c>
      <c r="O8" s="145">
        <v>0.75</v>
      </c>
      <c r="P8" s="271"/>
      <c r="Q8" s="271"/>
      <c r="R8" s="271"/>
      <c r="S8" s="271"/>
      <c r="T8" s="271"/>
      <c r="U8" s="271"/>
      <c r="V8" s="271"/>
      <c r="W8" s="16" t="s">
        <v>4</v>
      </c>
    </row>
    <row r="9" spans="1:23" ht="12.75">
      <c r="A9" s="150" t="s">
        <v>19</v>
      </c>
      <c r="B9" s="214"/>
      <c r="C9" s="141"/>
      <c r="D9" s="282"/>
      <c r="E9" s="141"/>
      <c r="F9" s="141"/>
      <c r="G9" s="141"/>
      <c r="H9" s="141"/>
      <c r="I9" s="211">
        <f t="shared" si="0"/>
        <v>0</v>
      </c>
      <c r="J9" s="146"/>
      <c r="K9" s="219"/>
      <c r="L9" s="220"/>
      <c r="M9" s="179">
        <v>0.8</v>
      </c>
      <c r="N9" s="181">
        <v>0.71</v>
      </c>
      <c r="O9" s="145">
        <v>0.75</v>
      </c>
      <c r="P9" s="271"/>
      <c r="Q9" s="271"/>
      <c r="R9" s="271"/>
      <c r="S9" s="271"/>
      <c r="T9" s="271"/>
      <c r="U9" s="271"/>
      <c r="V9" s="271"/>
      <c r="W9" s="16" t="s">
        <v>4</v>
      </c>
    </row>
    <row r="10" spans="1:23" ht="13.5" thickBot="1">
      <c r="A10" s="151" t="s">
        <v>19</v>
      </c>
      <c r="B10" s="215"/>
      <c r="C10" s="153"/>
      <c r="D10" s="153"/>
      <c r="E10" s="153"/>
      <c r="F10" s="153"/>
      <c r="G10" s="153"/>
      <c r="H10" s="153"/>
      <c r="I10" s="211">
        <f t="shared" si="0"/>
        <v>0</v>
      </c>
      <c r="J10" s="152"/>
      <c r="K10" s="221"/>
      <c r="L10" s="222"/>
      <c r="M10" s="180">
        <v>0.8</v>
      </c>
      <c r="N10" s="181">
        <v>0.71</v>
      </c>
      <c r="O10" s="145">
        <v>0.75</v>
      </c>
      <c r="P10" s="271"/>
      <c r="Q10" s="271"/>
      <c r="R10" s="271"/>
      <c r="S10" s="271"/>
      <c r="T10" s="271"/>
      <c r="U10" s="271"/>
      <c r="V10" s="271"/>
      <c r="W10" s="16" t="s">
        <v>4</v>
      </c>
    </row>
    <row r="11" spans="16:22" ht="12.75">
      <c r="P11" s="285"/>
      <c r="Q11" s="285"/>
      <c r="R11" s="285"/>
      <c r="S11" s="285"/>
      <c r="T11" s="285"/>
      <c r="U11" s="285"/>
      <c r="V11" s="285"/>
    </row>
    <row r="12" spans="16:22" ht="12.75">
      <c r="P12" s="285"/>
      <c r="Q12" s="285"/>
      <c r="R12" s="285"/>
      <c r="S12" s="285"/>
      <c r="T12" s="285"/>
      <c r="U12" s="285"/>
      <c r="V12" s="285"/>
    </row>
    <row r="13" spans="16:22" ht="12.75">
      <c r="P13" s="285"/>
      <c r="Q13" s="285"/>
      <c r="R13" s="285"/>
      <c r="S13" s="285"/>
      <c r="T13" s="285"/>
      <c r="U13" s="285"/>
      <c r="V13" s="285"/>
    </row>
    <row r="14" spans="1:22" ht="13.5" hidden="1">
      <c r="A14" s="122" t="s">
        <v>74</v>
      </c>
      <c r="P14" s="285"/>
      <c r="Q14" s="285"/>
      <c r="R14" s="285"/>
      <c r="S14" s="285"/>
      <c r="T14" s="285"/>
      <c r="U14" s="285"/>
      <c r="V14" s="285"/>
    </row>
    <row r="15" spans="1:22" ht="12.75" hidden="1">
      <c r="A15" s="122" t="s">
        <v>87</v>
      </c>
      <c r="P15" s="285"/>
      <c r="Q15" s="285"/>
      <c r="R15" s="285"/>
      <c r="S15" s="285"/>
      <c r="T15" s="285"/>
      <c r="U15" s="285"/>
      <c r="V15" s="285"/>
    </row>
    <row r="16" spans="16:22" ht="12.75">
      <c r="P16" s="285"/>
      <c r="Q16" s="285"/>
      <c r="R16" s="285"/>
      <c r="S16" s="285"/>
      <c r="T16" s="285"/>
      <c r="U16" s="285"/>
      <c r="V16" s="285"/>
    </row>
    <row r="17" spans="16:22" ht="12.75">
      <c r="P17" s="285"/>
      <c r="Q17" s="285"/>
      <c r="R17" s="285"/>
      <c r="S17" s="285"/>
      <c r="T17" s="285"/>
      <c r="U17" s="285"/>
      <c r="V17" s="285"/>
    </row>
    <row r="18" spans="16:22" ht="12.75">
      <c r="P18" s="285"/>
      <c r="Q18" s="285"/>
      <c r="R18" s="285"/>
      <c r="S18" s="285"/>
      <c r="T18" s="285"/>
      <c r="U18" s="285"/>
      <c r="V18" s="285"/>
    </row>
    <row r="19" spans="16:22" ht="12.75">
      <c r="P19" s="285"/>
      <c r="Q19" s="285"/>
      <c r="R19" s="285"/>
      <c r="S19" s="285"/>
      <c r="T19" s="285"/>
      <c r="U19" s="285"/>
      <c r="V19" s="285"/>
    </row>
    <row r="20" spans="16:22" ht="12.75">
      <c r="P20" s="285"/>
      <c r="Q20" s="285"/>
      <c r="R20" s="285"/>
      <c r="S20" s="285"/>
      <c r="T20" s="285"/>
      <c r="U20" s="285"/>
      <c r="V20" s="285"/>
    </row>
    <row r="21" spans="16:22" ht="12.75">
      <c r="P21" s="285"/>
      <c r="Q21" s="285"/>
      <c r="R21" s="285"/>
      <c r="S21" s="285"/>
      <c r="T21" s="285"/>
      <c r="U21" s="285"/>
      <c r="V21" s="285"/>
    </row>
    <row r="22" spans="16:22" ht="12.75">
      <c r="P22" s="285"/>
      <c r="Q22" s="285"/>
      <c r="R22" s="285"/>
      <c r="S22" s="285"/>
      <c r="T22" s="285"/>
      <c r="U22" s="285"/>
      <c r="V22" s="285"/>
    </row>
    <row r="23" spans="16:22" ht="12.75">
      <c r="P23" s="285"/>
      <c r="Q23" s="285"/>
      <c r="R23" s="285"/>
      <c r="S23" s="285"/>
      <c r="T23" s="285"/>
      <c r="U23" s="285"/>
      <c r="V23" s="285"/>
    </row>
    <row r="24" spans="16:22" ht="12.75">
      <c r="P24" s="285"/>
      <c r="Q24" s="285"/>
      <c r="R24" s="285"/>
      <c r="S24" s="285"/>
      <c r="T24" s="285"/>
      <c r="U24" s="285"/>
      <c r="V24" s="285"/>
    </row>
    <row r="25" spans="16:22" ht="12.75">
      <c r="P25" s="285"/>
      <c r="Q25" s="285"/>
      <c r="R25" s="285"/>
      <c r="S25" s="285"/>
      <c r="T25" s="285"/>
      <c r="U25" s="285"/>
      <c r="V25" s="285"/>
    </row>
    <row r="26" spans="16:22" ht="13.5" thickBot="1">
      <c r="P26" s="285"/>
      <c r="Q26" s="285"/>
      <c r="R26" s="285"/>
      <c r="S26" s="285"/>
      <c r="T26" s="285"/>
      <c r="U26" s="285"/>
      <c r="V26" s="285"/>
    </row>
    <row r="27" spans="1:22" ht="13.5" thickBot="1">
      <c r="A27" s="147" t="s">
        <v>39</v>
      </c>
      <c r="B27" s="306" t="s">
        <v>114</v>
      </c>
      <c r="C27" s="305"/>
      <c r="D27" s="305"/>
      <c r="E27" s="305"/>
      <c r="F27" s="305"/>
      <c r="G27" s="305"/>
      <c r="H27" s="191" t="s">
        <v>84</v>
      </c>
      <c r="I27" s="209" t="s">
        <v>85</v>
      </c>
      <c r="J27" s="218" t="s">
        <v>46</v>
      </c>
      <c r="K27" s="176" t="s">
        <v>180</v>
      </c>
      <c r="L27" s="209" t="s">
        <v>76</v>
      </c>
      <c r="M27" s="178" t="s">
        <v>105</v>
      </c>
      <c r="N27" s="305" t="s">
        <v>79</v>
      </c>
      <c r="O27" s="305"/>
      <c r="P27" s="283"/>
      <c r="Q27" s="307"/>
      <c r="R27" s="307"/>
      <c r="S27" s="307"/>
      <c r="T27" s="307"/>
      <c r="U27" s="307"/>
      <c r="V27" s="307"/>
    </row>
    <row r="28" spans="1:22" ht="13.5" thickBot="1">
      <c r="A28" s="148" t="s">
        <v>44</v>
      </c>
      <c r="B28" s="223" t="s">
        <v>45</v>
      </c>
      <c r="C28" s="186" t="s">
        <v>30</v>
      </c>
      <c r="D28" s="18" t="s">
        <v>177</v>
      </c>
      <c r="E28" s="18" t="s">
        <v>178</v>
      </c>
      <c r="F28" s="18" t="s">
        <v>179</v>
      </c>
      <c r="G28" s="176" t="s">
        <v>125</v>
      </c>
      <c r="H28" s="191" t="s">
        <v>83</v>
      </c>
      <c r="I28" s="209" t="s">
        <v>40</v>
      </c>
      <c r="J28" s="18" t="s">
        <v>31</v>
      </c>
      <c r="K28" s="18" t="s">
        <v>181</v>
      </c>
      <c r="L28" s="40" t="s">
        <v>77</v>
      </c>
      <c r="M28" s="18" t="s">
        <v>106</v>
      </c>
      <c r="N28" s="40" t="s">
        <v>80</v>
      </c>
      <c r="O28" s="39" t="s">
        <v>81</v>
      </c>
      <c r="P28" s="284"/>
      <c r="Q28" s="284"/>
      <c r="R28" s="284"/>
      <c r="S28" s="284"/>
      <c r="T28" s="284"/>
      <c r="U28" s="284"/>
      <c r="V28" s="284"/>
    </row>
    <row r="29" spans="1:22" ht="12.75">
      <c r="A29" s="149" t="s">
        <v>92</v>
      </c>
      <c r="B29" s="210"/>
      <c r="C29" s="28"/>
      <c r="D29" s="28"/>
      <c r="E29" s="28"/>
      <c r="F29" s="28"/>
      <c r="G29" s="28"/>
      <c r="H29" s="28"/>
      <c r="I29" s="212"/>
      <c r="J29" s="213"/>
      <c r="K29" s="192"/>
      <c r="L29" s="248">
        <v>99</v>
      </c>
      <c r="M29" s="216">
        <v>1</v>
      </c>
      <c r="N29" s="217">
        <v>1</v>
      </c>
      <c r="O29" s="217">
        <v>1</v>
      </c>
      <c r="P29" s="285"/>
      <c r="Q29" s="285"/>
      <c r="R29" s="285"/>
      <c r="S29" s="285"/>
      <c r="T29" s="285"/>
      <c r="U29" s="285"/>
      <c r="V29" s="285"/>
    </row>
    <row r="30" spans="1:22" ht="12.75">
      <c r="A30" s="150" t="s">
        <v>159</v>
      </c>
      <c r="B30" s="214"/>
      <c r="C30" s="141"/>
      <c r="D30" s="141"/>
      <c r="E30" s="141"/>
      <c r="F30" s="141"/>
      <c r="G30" s="141"/>
      <c r="H30" s="141"/>
      <c r="I30" s="211"/>
      <c r="J30" s="146"/>
      <c r="K30" s="219"/>
      <c r="L30" s="220"/>
      <c r="M30" s="179"/>
      <c r="N30" s="181"/>
      <c r="O30" s="145"/>
      <c r="P30" s="271"/>
      <c r="Q30" s="271"/>
      <c r="R30" s="271"/>
      <c r="S30" s="271"/>
      <c r="T30" s="271"/>
      <c r="U30" s="271"/>
      <c r="V30" s="271"/>
    </row>
    <row r="31" spans="16:22" ht="12.75">
      <c r="P31" s="285"/>
      <c r="Q31" s="285"/>
      <c r="R31" s="285"/>
      <c r="S31" s="285"/>
      <c r="T31" s="285"/>
      <c r="U31" s="285"/>
      <c r="V31" s="285"/>
    </row>
    <row r="32" spans="16:22" ht="12.75">
      <c r="P32" s="285"/>
      <c r="Q32" s="285"/>
      <c r="R32" s="285"/>
      <c r="S32" s="285"/>
      <c r="T32" s="285"/>
      <c r="U32" s="285"/>
      <c r="V32" s="285"/>
    </row>
  </sheetData>
  <sheetProtection password="DBB7" sheet="1" objects="1" scenarios="1"/>
  <mergeCells count="8">
    <mergeCell ref="N1:O1"/>
    <mergeCell ref="B1:G1"/>
    <mergeCell ref="T1:V1"/>
    <mergeCell ref="Q1:S1"/>
    <mergeCell ref="B27:G27"/>
    <mergeCell ref="N27:O27"/>
    <mergeCell ref="Q27:S27"/>
    <mergeCell ref="T27:V27"/>
  </mergeCells>
  <printOptions/>
  <pageMargins left="0.75" right="0.75" top="1" bottom="1" header="0.5" footer="0.5"/>
  <pageSetup horizontalDpi="300" verticalDpi="300" orientation="portrait" r:id="rId3"/>
  <drawing r:id="rId2"/>
  <legacyDrawing r:id="rId1"/>
</worksheet>
</file>

<file path=xl/worksheets/sheet8.xml><?xml version="1.0" encoding="utf-8"?>
<worksheet xmlns="http://schemas.openxmlformats.org/spreadsheetml/2006/main" xmlns:r="http://schemas.openxmlformats.org/officeDocument/2006/relationships">
  <sheetPr codeName="Sheet21"/>
  <dimension ref="A1:G47"/>
  <sheetViews>
    <sheetView showFormulas="1" zoomScalePageLayoutView="0" workbookViewId="0" topLeftCell="A1">
      <selection activeCell="A24" sqref="A24"/>
    </sheetView>
  </sheetViews>
  <sheetFormatPr defaultColWidth="8.8515625" defaultRowHeight="12.75"/>
  <cols>
    <col min="1" max="1" width="53.8515625" style="6" customWidth="1"/>
    <col min="2" max="2" width="9.28125" style="80" customWidth="1"/>
    <col min="3" max="3" width="12.28125" style="80" hidden="1" customWidth="1"/>
    <col min="4" max="4" width="27.7109375" style="80" customWidth="1"/>
    <col min="5" max="5" width="28.421875" style="6" customWidth="1"/>
    <col min="6" max="6" width="8.8515625" style="6" customWidth="1"/>
    <col min="7" max="7" width="10.421875" style="6" customWidth="1"/>
    <col min="8" max="16384" width="8.8515625" style="6" customWidth="1"/>
  </cols>
  <sheetData>
    <row r="1" spans="1:7" ht="13.5" thickBot="1">
      <c r="A1" s="17" t="s">
        <v>2</v>
      </c>
      <c r="B1" s="18" t="s">
        <v>37</v>
      </c>
      <c r="C1" s="18" t="s">
        <v>75</v>
      </c>
      <c r="D1" s="81" t="s">
        <v>53</v>
      </c>
      <c r="E1" s="19"/>
      <c r="F1" s="20" t="s">
        <v>15</v>
      </c>
      <c r="G1" s="21" t="s">
        <v>16</v>
      </c>
    </row>
    <row r="2" spans="1:7" ht="12.75">
      <c r="A2" s="116" t="s">
        <v>93</v>
      </c>
      <c r="B2" s="79"/>
      <c r="C2" s="79"/>
      <c r="D2" s="82"/>
      <c r="F2" s="14" t="s">
        <v>13</v>
      </c>
      <c r="G2" s="14" t="s">
        <v>14</v>
      </c>
    </row>
    <row r="3" spans="1:7" ht="12.75">
      <c r="A3" s="293" t="s">
        <v>220</v>
      </c>
      <c r="B3" s="293">
        <v>60</v>
      </c>
      <c r="C3" s="136"/>
      <c r="D3" s="82"/>
      <c r="F3" s="14" t="s">
        <v>14</v>
      </c>
      <c r="G3" s="14" t="s">
        <v>17</v>
      </c>
    </row>
    <row r="4" spans="1:6" ht="12.75">
      <c r="A4" s="293" t="s">
        <v>221</v>
      </c>
      <c r="B4" s="293">
        <v>60</v>
      </c>
      <c r="C4" s="136"/>
      <c r="D4" s="82"/>
      <c r="F4" s="14" t="s">
        <v>17</v>
      </c>
    </row>
    <row r="5" spans="1:4" ht="12.75">
      <c r="A5" s="293" t="s">
        <v>222</v>
      </c>
      <c r="B5" s="293">
        <v>60</v>
      </c>
      <c r="C5" s="136"/>
      <c r="D5" s="82"/>
    </row>
    <row r="6" spans="1:4" ht="12.75" customHeight="1">
      <c r="A6" s="293" t="s">
        <v>223</v>
      </c>
      <c r="B6" s="293">
        <v>80</v>
      </c>
      <c r="C6" s="136"/>
      <c r="D6" s="82"/>
    </row>
    <row r="7" spans="1:4" ht="12.75" customHeight="1">
      <c r="A7" s="293" t="s">
        <v>224</v>
      </c>
      <c r="B7" s="293">
        <v>80</v>
      </c>
      <c r="C7" s="136"/>
      <c r="D7" s="82"/>
    </row>
    <row r="8" spans="1:4" ht="12.75">
      <c r="A8" s="293" t="s">
        <v>225</v>
      </c>
      <c r="B8" s="293">
        <v>80</v>
      </c>
      <c r="C8" s="136"/>
      <c r="D8" s="82"/>
    </row>
    <row r="9" spans="1:4" ht="12.75">
      <c r="A9" s="293" t="s">
        <v>226</v>
      </c>
      <c r="B9" s="293">
        <v>80</v>
      </c>
      <c r="C9" s="136"/>
      <c r="D9" s="82"/>
    </row>
    <row r="10" spans="1:4" ht="12.75">
      <c r="A10" s="293" t="s">
        <v>227</v>
      </c>
      <c r="B10" s="293">
        <v>80</v>
      </c>
      <c r="C10" s="136"/>
      <c r="D10" s="82"/>
    </row>
    <row r="11" spans="1:4" ht="12.75">
      <c r="A11" s="293" t="s">
        <v>228</v>
      </c>
      <c r="B11" s="293">
        <v>80</v>
      </c>
      <c r="C11" s="136"/>
      <c r="D11" s="82"/>
    </row>
    <row r="12" spans="1:4" ht="12.75">
      <c r="A12" s="293" t="s">
        <v>229</v>
      </c>
      <c r="B12" s="293">
        <v>80</v>
      </c>
      <c r="C12" s="136"/>
      <c r="D12" s="82"/>
    </row>
    <row r="13" spans="1:7" ht="12.75">
      <c r="A13" s="293" t="s">
        <v>230</v>
      </c>
      <c r="B13" s="293">
        <v>80</v>
      </c>
      <c r="C13" s="136"/>
      <c r="D13" s="82"/>
      <c r="F13" s="86"/>
      <c r="G13" s="86"/>
    </row>
    <row r="14" spans="1:7" ht="12.75">
      <c r="A14" s="293" t="s">
        <v>231</v>
      </c>
      <c r="B14" s="293">
        <v>95</v>
      </c>
      <c r="C14" s="136"/>
      <c r="D14" s="82"/>
      <c r="F14" s="86"/>
      <c r="G14" s="86"/>
    </row>
    <row r="15" spans="1:7" ht="12.75">
      <c r="A15" s="293" t="s">
        <v>232</v>
      </c>
      <c r="B15" s="293">
        <v>95</v>
      </c>
      <c r="C15" s="136"/>
      <c r="D15" s="82"/>
      <c r="F15" s="86"/>
      <c r="G15" s="86"/>
    </row>
    <row r="16" spans="1:7" ht="12.75">
      <c r="A16" s="293" t="s">
        <v>233</v>
      </c>
      <c r="B16" s="293">
        <v>95</v>
      </c>
      <c r="C16" s="136"/>
      <c r="D16" s="82"/>
      <c r="F16" s="86"/>
      <c r="G16" s="86"/>
    </row>
    <row r="17" spans="1:7" ht="12.75">
      <c r="A17" s="293" t="s">
        <v>234</v>
      </c>
      <c r="B17" s="293">
        <v>40</v>
      </c>
      <c r="C17" s="143"/>
      <c r="D17" s="143"/>
      <c r="E17" s="16" t="s">
        <v>4</v>
      </c>
      <c r="F17" s="86"/>
      <c r="G17" s="86"/>
    </row>
    <row r="18" spans="1:7" ht="12.75">
      <c r="A18" s="293" t="s">
        <v>235</v>
      </c>
      <c r="B18" s="293">
        <v>40</v>
      </c>
      <c r="C18" s="143"/>
      <c r="D18" s="143"/>
      <c r="E18" s="16" t="s">
        <v>4</v>
      </c>
      <c r="F18" s="86"/>
      <c r="G18" s="86"/>
    </row>
    <row r="19" spans="1:7" ht="12.75">
      <c r="A19" s="293" t="s">
        <v>236</v>
      </c>
      <c r="B19" s="293">
        <v>60</v>
      </c>
      <c r="C19" s="143"/>
      <c r="D19" s="143"/>
      <c r="E19" s="16"/>
      <c r="F19" s="86"/>
      <c r="G19" s="86"/>
    </row>
    <row r="20" spans="1:7" ht="12.75">
      <c r="A20" s="293" t="s">
        <v>237</v>
      </c>
      <c r="B20" s="293">
        <v>80</v>
      </c>
      <c r="C20" s="143"/>
      <c r="D20" s="143"/>
      <c r="E20" s="16"/>
      <c r="F20" s="86"/>
      <c r="G20" s="86"/>
    </row>
    <row r="21" spans="1:7" ht="12.75">
      <c r="A21" s="293" t="s">
        <v>238</v>
      </c>
      <c r="B21" s="293">
        <v>80</v>
      </c>
      <c r="C21" s="143"/>
      <c r="D21" s="143"/>
      <c r="E21" s="16"/>
      <c r="F21" s="86"/>
      <c r="G21" s="86"/>
    </row>
    <row r="22" spans="1:7" ht="12.75">
      <c r="A22" s="293" t="s">
        <v>239</v>
      </c>
      <c r="B22" s="293">
        <v>80</v>
      </c>
      <c r="C22" s="143"/>
      <c r="D22" s="143"/>
      <c r="E22" s="16"/>
      <c r="F22" s="86"/>
      <c r="G22" s="86"/>
    </row>
    <row r="23" spans="1:7" ht="12.75">
      <c r="A23" s="293" t="s">
        <v>240</v>
      </c>
      <c r="B23" s="293">
        <v>80</v>
      </c>
      <c r="C23" s="143"/>
      <c r="D23" s="143"/>
      <c r="E23" s="16"/>
      <c r="F23" s="86"/>
      <c r="G23" s="86"/>
    </row>
    <row r="24" spans="1:7" ht="12.75">
      <c r="A24" s="293" t="s">
        <v>241</v>
      </c>
      <c r="B24" s="293">
        <v>80</v>
      </c>
      <c r="C24" s="143"/>
      <c r="D24" s="143"/>
      <c r="E24" s="16"/>
      <c r="F24" s="86"/>
      <c r="G24" s="86"/>
    </row>
    <row r="25" spans="1:7" ht="12.75">
      <c r="A25" s="293" t="s">
        <v>242</v>
      </c>
      <c r="B25" s="293">
        <v>80</v>
      </c>
      <c r="C25" s="143"/>
      <c r="D25" s="143"/>
      <c r="E25" s="16"/>
      <c r="F25" s="86"/>
      <c r="G25" s="86"/>
    </row>
    <row r="26" spans="1:7" ht="12.75">
      <c r="A26" s="293" t="s">
        <v>243</v>
      </c>
      <c r="B26" s="293">
        <v>80</v>
      </c>
      <c r="C26" s="143"/>
      <c r="D26" s="143"/>
      <c r="E26" s="16"/>
      <c r="F26" s="86"/>
      <c r="G26" s="86"/>
    </row>
    <row r="27" spans="1:7" ht="12.75">
      <c r="A27" s="293" t="s">
        <v>244</v>
      </c>
      <c r="B27" s="293">
        <v>95</v>
      </c>
      <c r="C27" s="143"/>
      <c r="D27" s="143"/>
      <c r="E27" s="16"/>
      <c r="F27" s="86"/>
      <c r="G27" s="86"/>
    </row>
    <row r="28" spans="1:7" ht="12.75">
      <c r="A28" s="293" t="s">
        <v>245</v>
      </c>
      <c r="B28" s="293">
        <v>95</v>
      </c>
      <c r="C28" s="143"/>
      <c r="D28" s="143"/>
      <c r="E28" s="16"/>
      <c r="F28" s="86"/>
      <c r="G28" s="86"/>
    </row>
    <row r="29" spans="1:7" ht="12.75">
      <c r="A29" s="293" t="s">
        <v>246</v>
      </c>
      <c r="B29" s="293">
        <v>95</v>
      </c>
      <c r="C29" s="143"/>
      <c r="D29" s="143"/>
      <c r="E29" s="16"/>
      <c r="F29" s="86"/>
      <c r="G29" s="86"/>
    </row>
    <row r="30" spans="1:7" ht="12.75">
      <c r="A30" s="293" t="s">
        <v>247</v>
      </c>
      <c r="B30" s="293">
        <v>95</v>
      </c>
      <c r="C30" s="143"/>
      <c r="D30" s="143"/>
      <c r="E30" s="16"/>
      <c r="F30" s="86"/>
      <c r="G30" s="86"/>
    </row>
    <row r="31" spans="1:7" ht="12.75">
      <c r="A31" s="293" t="s">
        <v>248</v>
      </c>
      <c r="B31" s="293">
        <v>95</v>
      </c>
      <c r="C31" s="143"/>
      <c r="D31" s="143"/>
      <c r="E31" s="16" t="s">
        <v>4</v>
      </c>
      <c r="F31" s="86"/>
      <c r="G31" s="86"/>
    </row>
    <row r="32" spans="1:7" ht="12.75">
      <c r="A32" s="293" t="s">
        <v>249</v>
      </c>
      <c r="B32" s="293">
        <v>95</v>
      </c>
      <c r="C32" s="143"/>
      <c r="D32" s="143"/>
      <c r="E32" s="16"/>
      <c r="F32" s="86"/>
      <c r="G32" s="86"/>
    </row>
    <row r="33" spans="1:7" ht="12.75">
      <c r="A33" s="141"/>
      <c r="B33" s="143"/>
      <c r="C33" s="143"/>
      <c r="D33" s="143"/>
      <c r="E33" s="16" t="s">
        <v>4</v>
      </c>
      <c r="F33" s="86"/>
      <c r="G33" s="86"/>
    </row>
    <row r="36" ht="12.75" hidden="1">
      <c r="A36" s="6" t="s">
        <v>62</v>
      </c>
    </row>
    <row r="37" ht="12.75" hidden="1">
      <c r="A37" s="6">
        <v>0</v>
      </c>
    </row>
    <row r="38" ht="12.75" hidden="1">
      <c r="A38" s="6">
        <v>1</v>
      </c>
    </row>
    <row r="39" ht="12.75" hidden="1"/>
    <row r="40" ht="12.75" hidden="1"/>
    <row r="41" ht="12.75" hidden="1"/>
    <row r="42" ht="14.25" hidden="1">
      <c r="A42" s="6" t="s">
        <v>89</v>
      </c>
    </row>
    <row r="45" spans="1:4" ht="12.75">
      <c r="A45" s="80"/>
      <c r="B45" s="6"/>
      <c r="C45" s="6"/>
      <c r="D45" s="6"/>
    </row>
    <row r="46" spans="1:4" ht="12.75">
      <c r="A46" s="80"/>
      <c r="B46" s="6"/>
      <c r="C46" s="6"/>
      <c r="D46" s="6"/>
    </row>
    <row r="47" spans="1:4" ht="12.75">
      <c r="A47" s="80"/>
      <c r="B47" s="6"/>
      <c r="C47" s="6"/>
      <c r="D47" s="6"/>
    </row>
  </sheetData>
  <sheetProtection/>
  <printOptions/>
  <pageMargins left="0.75" right="0.75" top="1" bottom="1" header="0.5" footer="0.5"/>
  <pageSetup horizontalDpi="300" verticalDpi="300" orientation="portrait" r:id="rId2"/>
  <legacyDrawing r:id="rId1"/>
</worksheet>
</file>

<file path=xl/worksheets/sheet9.xml><?xml version="1.0" encoding="utf-8"?>
<worksheet xmlns="http://schemas.openxmlformats.org/spreadsheetml/2006/main" xmlns:r="http://schemas.openxmlformats.org/officeDocument/2006/relationships">
  <sheetPr codeName="Sheet4"/>
  <dimension ref="A1:N49"/>
  <sheetViews>
    <sheetView showRowColHeaders="0" zoomScale="85" zoomScaleNormal="85" zoomScalePageLayoutView="0" workbookViewId="0" topLeftCell="A1">
      <selection activeCell="A6" sqref="A6"/>
    </sheetView>
  </sheetViews>
  <sheetFormatPr defaultColWidth="8.8515625" defaultRowHeight="12.75"/>
  <cols>
    <col min="1" max="1" width="34.00390625" style="6" customWidth="1"/>
    <col min="2" max="3" width="8.8515625" style="6" customWidth="1"/>
    <col min="4" max="4" width="8.8515625" style="74" customWidth="1"/>
    <col min="5" max="11" width="8.8515625" style="6" customWidth="1"/>
    <col min="12" max="12" width="36.28125" style="6" customWidth="1"/>
    <col min="13" max="13" width="8.8515625" style="6" customWidth="1"/>
    <col min="14" max="14" width="14.7109375" style="6" customWidth="1"/>
    <col min="15" max="16384" width="8.8515625" style="6" customWidth="1"/>
  </cols>
  <sheetData>
    <row r="1" spans="1:12" ht="13.5" thickBot="1">
      <c r="A1" s="202"/>
      <c r="B1" s="311" t="s">
        <v>121</v>
      </c>
      <c r="C1" s="311"/>
      <c r="D1" s="311"/>
      <c r="E1" s="311"/>
      <c r="F1" s="311"/>
      <c r="G1" s="311"/>
      <c r="H1" s="311"/>
      <c r="I1" s="311"/>
      <c r="J1" s="311"/>
      <c r="K1" s="312"/>
      <c r="L1" s="202"/>
    </row>
    <row r="2" spans="1:12" ht="13.5" customHeight="1">
      <c r="A2" s="202"/>
      <c r="B2" s="308" t="s">
        <v>116</v>
      </c>
      <c r="C2" s="309"/>
      <c r="D2" s="309"/>
      <c r="E2" s="309"/>
      <c r="F2" s="309"/>
      <c r="G2" s="309"/>
      <c r="H2" s="309"/>
      <c r="I2" s="309"/>
      <c r="J2" s="309"/>
      <c r="K2" s="310"/>
      <c r="L2" s="202"/>
    </row>
    <row r="3" spans="1:14" ht="12.75" customHeight="1" thickBot="1">
      <c r="A3" s="236" t="s">
        <v>1</v>
      </c>
      <c r="B3" s="239">
        <v>0</v>
      </c>
      <c r="C3" s="239">
        <v>1</v>
      </c>
      <c r="D3" s="240">
        <v>2</v>
      </c>
      <c r="E3" s="240">
        <v>3</v>
      </c>
      <c r="F3" s="240">
        <v>4</v>
      </c>
      <c r="G3" s="240"/>
      <c r="H3" s="240"/>
      <c r="I3" s="240"/>
      <c r="J3" s="240" t="s">
        <v>135</v>
      </c>
      <c r="K3" s="241"/>
      <c r="L3" s="238"/>
      <c r="M3" s="235"/>
      <c r="N3" s="235"/>
    </row>
    <row r="4" spans="3:14" ht="13.5" hidden="1" thickBot="1">
      <c r="C4" s="233"/>
      <c r="D4" s="232"/>
      <c r="E4" s="232"/>
      <c r="F4" s="232"/>
      <c r="G4" s="232"/>
      <c r="H4" s="232"/>
      <c r="I4" s="232"/>
      <c r="J4" s="232"/>
      <c r="K4" s="234"/>
      <c r="L4" s="238"/>
      <c r="M4" s="235"/>
      <c r="N4" s="235"/>
    </row>
    <row r="5" spans="1:12" ht="12.75">
      <c r="A5" s="1" t="s">
        <v>94</v>
      </c>
      <c r="B5" s="253" t="s">
        <v>186</v>
      </c>
      <c r="C5" s="5"/>
      <c r="D5" s="5"/>
      <c r="E5" s="5"/>
      <c r="F5" s="5"/>
      <c r="G5" s="5"/>
      <c r="H5" s="5"/>
      <c r="I5" s="5"/>
      <c r="J5" s="5"/>
      <c r="K5" s="5"/>
      <c r="L5" s="6" t="s">
        <v>149</v>
      </c>
    </row>
    <row r="6" spans="1:11" ht="12.75">
      <c r="A6" s="1" t="s">
        <v>150</v>
      </c>
      <c r="B6" s="253">
        <v>0</v>
      </c>
      <c r="C6" s="253">
        <f aca="true" t="shared" si="0" ref="C6:C14">B41*0.81</f>
        <v>4.3740000000000006</v>
      </c>
      <c r="D6" s="253">
        <f>C6*2</f>
        <v>8.748000000000001</v>
      </c>
      <c r="E6" s="253">
        <f>C6*3</f>
        <v>13.122000000000002</v>
      </c>
      <c r="F6" s="253">
        <f aca="true" t="shared" si="1" ref="F6:F14">C41*0.81</f>
        <v>13.365</v>
      </c>
      <c r="G6" s="253"/>
      <c r="H6" s="253"/>
      <c r="I6" s="253"/>
      <c r="J6" s="253"/>
      <c r="K6" s="253"/>
    </row>
    <row r="7" spans="1:11" ht="12.75">
      <c r="A7" s="1" t="s">
        <v>152</v>
      </c>
      <c r="B7" s="253">
        <v>0</v>
      </c>
      <c r="C7" s="253">
        <f t="shared" si="0"/>
        <v>4.941</v>
      </c>
      <c r="D7" s="253">
        <f aca="true" t="shared" si="2" ref="D7:D14">C7*2</f>
        <v>9.882</v>
      </c>
      <c r="E7" s="253">
        <f aca="true" t="shared" si="3" ref="E7:E14">C7*3</f>
        <v>14.823</v>
      </c>
      <c r="F7" s="253">
        <f t="shared" si="1"/>
        <v>14.985000000000001</v>
      </c>
      <c r="G7" s="253"/>
      <c r="H7" s="253"/>
      <c r="I7" s="253"/>
      <c r="J7" s="253"/>
      <c r="K7" s="253"/>
    </row>
    <row r="8" spans="1:11" ht="12.75">
      <c r="A8" s="1" t="s">
        <v>151</v>
      </c>
      <c r="B8" s="253">
        <v>0</v>
      </c>
      <c r="C8" s="253">
        <f t="shared" si="0"/>
        <v>5.8482</v>
      </c>
      <c r="D8" s="253">
        <f t="shared" si="2"/>
        <v>11.6964</v>
      </c>
      <c r="E8" s="253">
        <f t="shared" si="3"/>
        <v>17.544600000000003</v>
      </c>
      <c r="F8" s="253">
        <f t="shared" si="1"/>
        <v>17.658</v>
      </c>
      <c r="G8" s="253"/>
      <c r="H8" s="253"/>
      <c r="I8" s="253"/>
      <c r="J8" s="253"/>
      <c r="K8" s="253"/>
    </row>
    <row r="9" spans="1:11" ht="12.75">
      <c r="A9" s="1" t="s">
        <v>153</v>
      </c>
      <c r="B9" s="253">
        <v>0</v>
      </c>
      <c r="C9" s="253">
        <f t="shared" si="0"/>
        <v>6.804000000000001</v>
      </c>
      <c r="D9" s="253">
        <f t="shared" si="2"/>
        <v>13.608000000000002</v>
      </c>
      <c r="E9" s="253">
        <f t="shared" si="3"/>
        <v>20.412000000000003</v>
      </c>
      <c r="F9" s="253">
        <f t="shared" si="1"/>
        <v>15.795000000000002</v>
      </c>
      <c r="G9" s="253"/>
      <c r="H9" s="253"/>
      <c r="I9" s="253"/>
      <c r="J9" s="253"/>
      <c r="K9" s="253"/>
    </row>
    <row r="10" spans="1:11" ht="12.75">
      <c r="A10" s="1" t="s">
        <v>154</v>
      </c>
      <c r="B10" s="253">
        <v>0</v>
      </c>
      <c r="C10" s="253">
        <f t="shared" si="0"/>
        <v>7.970400000000001</v>
      </c>
      <c r="D10" s="253">
        <f t="shared" si="2"/>
        <v>15.940800000000001</v>
      </c>
      <c r="E10" s="253">
        <f t="shared" si="3"/>
        <v>23.9112</v>
      </c>
      <c r="F10" s="253">
        <f t="shared" si="1"/>
        <v>25.596000000000004</v>
      </c>
      <c r="G10" s="253"/>
      <c r="H10" s="253"/>
      <c r="I10" s="253"/>
      <c r="J10" s="253"/>
      <c r="K10" s="253"/>
    </row>
    <row r="11" spans="1:11" ht="12.75">
      <c r="A11" s="1" t="s">
        <v>155</v>
      </c>
      <c r="B11" s="253">
        <v>0</v>
      </c>
      <c r="C11" s="253">
        <f t="shared" si="0"/>
        <v>8.748000000000001</v>
      </c>
      <c r="D11" s="253">
        <f t="shared" si="2"/>
        <v>17.496000000000002</v>
      </c>
      <c r="E11" s="253">
        <f t="shared" si="3"/>
        <v>26.244000000000003</v>
      </c>
      <c r="F11" s="253">
        <f t="shared" si="1"/>
        <v>27.945</v>
      </c>
      <c r="G11" s="253"/>
      <c r="H11" s="253"/>
      <c r="I11" s="253"/>
      <c r="J11" s="253"/>
      <c r="K11" s="253"/>
    </row>
    <row r="12" spans="1:11" ht="12.75">
      <c r="A12" s="1" t="s">
        <v>156</v>
      </c>
      <c r="B12" s="253">
        <v>0</v>
      </c>
      <c r="C12" s="253">
        <f t="shared" si="0"/>
        <v>8.586</v>
      </c>
      <c r="D12" s="253">
        <f t="shared" si="2"/>
        <v>17.172</v>
      </c>
      <c r="E12" s="253">
        <f t="shared" si="3"/>
        <v>25.758000000000003</v>
      </c>
      <c r="F12" s="253">
        <f t="shared" si="1"/>
        <v>25.515</v>
      </c>
      <c r="G12" s="253"/>
      <c r="H12" s="253"/>
      <c r="I12" s="253"/>
      <c r="J12" s="253"/>
      <c r="K12" s="253"/>
    </row>
    <row r="13" spans="1:11" ht="12.75">
      <c r="A13" s="1" t="s">
        <v>157</v>
      </c>
      <c r="B13" s="253">
        <v>0</v>
      </c>
      <c r="C13" s="253">
        <f t="shared" si="0"/>
        <v>9.9144</v>
      </c>
      <c r="D13" s="253">
        <f t="shared" si="2"/>
        <v>19.8288</v>
      </c>
      <c r="E13" s="253">
        <f t="shared" si="3"/>
        <v>29.7432</v>
      </c>
      <c r="F13" s="253">
        <f t="shared" si="1"/>
        <v>28.755000000000003</v>
      </c>
      <c r="G13" s="253"/>
      <c r="H13" s="253"/>
      <c r="I13" s="253"/>
      <c r="J13" s="253"/>
      <c r="K13" s="253"/>
    </row>
    <row r="14" spans="1:11" ht="12.75">
      <c r="A14" s="1" t="s">
        <v>158</v>
      </c>
      <c r="B14" s="253">
        <v>0</v>
      </c>
      <c r="C14" s="253">
        <f t="shared" si="0"/>
        <v>10.854000000000001</v>
      </c>
      <c r="D14" s="253">
        <f t="shared" si="2"/>
        <v>21.708000000000002</v>
      </c>
      <c r="E14" s="253">
        <f t="shared" si="3"/>
        <v>32.562000000000005</v>
      </c>
      <c r="F14" s="253">
        <f t="shared" si="1"/>
        <v>32.157000000000004</v>
      </c>
      <c r="G14" s="253"/>
      <c r="H14" s="253"/>
      <c r="I14" s="253"/>
      <c r="J14" s="253"/>
      <c r="K14" s="253"/>
    </row>
    <row r="15" spans="1:14" ht="12.75">
      <c r="A15" s="141" t="s">
        <v>19</v>
      </c>
      <c r="B15" s="254"/>
      <c r="C15" s="254"/>
      <c r="D15" s="254"/>
      <c r="E15" s="254"/>
      <c r="F15" s="254"/>
      <c r="G15" s="254"/>
      <c r="H15" s="254"/>
      <c r="I15" s="254"/>
      <c r="J15" s="254"/>
      <c r="K15" s="254"/>
      <c r="L15" s="16" t="s">
        <v>4</v>
      </c>
      <c r="M15" s="86"/>
      <c r="N15" s="86"/>
    </row>
    <row r="16" spans="1:14" ht="12.75">
      <c r="A16" s="141" t="s">
        <v>19</v>
      </c>
      <c r="B16" s="254"/>
      <c r="C16" s="254"/>
      <c r="D16" s="254"/>
      <c r="E16" s="254"/>
      <c r="F16" s="254"/>
      <c r="G16" s="254"/>
      <c r="H16" s="254"/>
      <c r="I16" s="254"/>
      <c r="J16" s="254"/>
      <c r="K16" s="254"/>
      <c r="L16" s="16" t="s">
        <v>4</v>
      </c>
      <c r="M16" s="86"/>
      <c r="N16" s="86"/>
    </row>
    <row r="17" spans="1:14" ht="12.75">
      <c r="A17" s="141" t="s">
        <v>19</v>
      </c>
      <c r="B17" s="254"/>
      <c r="C17" s="254"/>
      <c r="D17" s="254"/>
      <c r="E17" s="254"/>
      <c r="F17" s="254"/>
      <c r="G17" s="254"/>
      <c r="H17" s="254"/>
      <c r="I17" s="254"/>
      <c r="J17" s="254"/>
      <c r="K17" s="254"/>
      <c r="L17" s="16" t="s">
        <v>4</v>
      </c>
      <c r="M17" s="86"/>
      <c r="N17" s="86"/>
    </row>
    <row r="18" spans="1:14" ht="12.75">
      <c r="A18" s="141" t="s">
        <v>19</v>
      </c>
      <c r="B18" s="254"/>
      <c r="C18" s="254"/>
      <c r="D18" s="254"/>
      <c r="E18" s="254"/>
      <c r="F18" s="254"/>
      <c r="G18" s="254"/>
      <c r="H18" s="254"/>
      <c r="I18" s="254"/>
      <c r="J18" s="254"/>
      <c r="K18" s="254"/>
      <c r="L18" s="16" t="s">
        <v>4</v>
      </c>
      <c r="M18" s="86"/>
      <c r="N18" s="86"/>
    </row>
    <row r="19" spans="1:14" ht="12.75">
      <c r="A19" s="141" t="s">
        <v>19</v>
      </c>
      <c r="B19" s="254"/>
      <c r="C19" s="254"/>
      <c r="D19" s="254"/>
      <c r="E19" s="254"/>
      <c r="F19" s="254"/>
      <c r="G19" s="254"/>
      <c r="H19" s="254"/>
      <c r="I19" s="254"/>
      <c r="J19" s="254"/>
      <c r="K19" s="254"/>
      <c r="L19" s="16" t="s">
        <v>4</v>
      </c>
      <c r="M19" s="86"/>
      <c r="N19" s="86"/>
    </row>
    <row r="20" spans="1:14" ht="12.75">
      <c r="A20" s="141" t="s">
        <v>19</v>
      </c>
      <c r="B20" s="254"/>
      <c r="C20" s="254"/>
      <c r="D20" s="254"/>
      <c r="E20" s="254"/>
      <c r="F20" s="254"/>
      <c r="G20" s="254"/>
      <c r="H20" s="254"/>
      <c r="I20" s="254"/>
      <c r="J20" s="254"/>
      <c r="K20" s="254"/>
      <c r="L20" s="16" t="s">
        <v>4</v>
      </c>
      <c r="M20" s="86"/>
      <c r="N20" s="86"/>
    </row>
    <row r="21" spans="2:4" ht="12.75">
      <c r="B21" s="74"/>
      <c r="D21" s="6"/>
    </row>
    <row r="22" spans="2:4" ht="12.75">
      <c r="B22" s="74"/>
      <c r="D22" s="6"/>
    </row>
    <row r="23" spans="2:4" ht="12.75">
      <c r="B23" s="74"/>
      <c r="D23" s="6"/>
    </row>
    <row r="24" spans="1:4" ht="12.75">
      <c r="A24" s="6" t="s">
        <v>63</v>
      </c>
      <c r="B24" s="74"/>
      <c r="D24" s="6"/>
    </row>
    <row r="25" spans="1:4" ht="12.75">
      <c r="A25" s="78" t="s">
        <v>117</v>
      </c>
      <c r="B25" s="74"/>
      <c r="D25" s="6"/>
    </row>
    <row r="26" spans="2:4" ht="12.75">
      <c r="B26" s="74"/>
      <c r="D26" s="6"/>
    </row>
    <row r="27" spans="2:4" ht="12.75">
      <c r="B27" s="74"/>
      <c r="D27" s="6"/>
    </row>
    <row r="28" spans="2:4" ht="12.75">
      <c r="B28" s="74"/>
      <c r="D28" s="6"/>
    </row>
    <row r="29" spans="2:14" ht="12.75">
      <c r="B29" s="74"/>
      <c r="D29" s="6"/>
      <c r="L29" s="3"/>
      <c r="M29" s="237"/>
      <c r="N29"/>
    </row>
    <row r="30" spans="1:14" ht="12.75">
      <c r="A30" s="6">
        <v>0</v>
      </c>
      <c r="B30" s="74"/>
      <c r="D30" s="6"/>
      <c r="L30"/>
      <c r="M30" s="237"/>
      <c r="N30"/>
    </row>
    <row r="31" spans="1:14" ht="12.75">
      <c r="A31" s="6">
        <v>1</v>
      </c>
      <c r="B31" s="74"/>
      <c r="D31" s="6"/>
      <c r="L31"/>
      <c r="M31" s="237"/>
      <c r="N31"/>
    </row>
    <row r="32" spans="1:14" ht="12.75">
      <c r="A32" s="6">
        <v>2</v>
      </c>
      <c r="B32" s="74"/>
      <c r="D32" s="6"/>
      <c r="L32"/>
      <c r="M32" s="237"/>
      <c r="N32"/>
    </row>
    <row r="33" spans="1:14" ht="12.75">
      <c r="A33" s="6">
        <v>3</v>
      </c>
      <c r="B33" s="74"/>
      <c r="D33" s="6"/>
      <c r="L33"/>
      <c r="M33" s="237"/>
      <c r="N33"/>
    </row>
    <row r="34" spans="1:14" ht="12.75">
      <c r="A34" s="6">
        <v>4</v>
      </c>
      <c r="B34" s="74"/>
      <c r="D34" s="6"/>
      <c r="L34"/>
      <c r="M34" s="237"/>
      <c r="N34"/>
    </row>
    <row r="35" spans="2:14" ht="12.75">
      <c r="B35" s="74"/>
      <c r="D35" s="6"/>
      <c r="L35"/>
      <c r="M35" s="237"/>
      <c r="N35"/>
    </row>
    <row r="36" spans="2:14" ht="12.75">
      <c r="B36" s="74"/>
      <c r="D36" s="6"/>
      <c r="L36"/>
      <c r="M36" s="237"/>
      <c r="N36"/>
    </row>
    <row r="37" spans="2:14" ht="12.75">
      <c r="B37" s="74"/>
      <c r="D37" s="6"/>
      <c r="L37"/>
      <c r="M37" s="237"/>
      <c r="N37"/>
    </row>
    <row r="38" spans="2:14" ht="12.75">
      <c r="B38" s="74"/>
      <c r="D38" s="6"/>
      <c r="L38"/>
      <c r="M38" s="237"/>
      <c r="N38"/>
    </row>
    <row r="39" spans="2:14" ht="12.75">
      <c r="B39" s="74"/>
      <c r="D39" s="6"/>
      <c r="L39"/>
      <c r="M39" s="237"/>
      <c r="N39"/>
    </row>
    <row r="40" spans="1:3" ht="12.75">
      <c r="A40" s="6" t="s">
        <v>145</v>
      </c>
      <c r="C40" s="6" t="s">
        <v>146</v>
      </c>
    </row>
    <row r="41" spans="1:3" ht="12.75">
      <c r="A41" s="1" t="s">
        <v>150</v>
      </c>
      <c r="B41" s="253">
        <v>5.4</v>
      </c>
      <c r="C41" s="253">
        <v>16.5</v>
      </c>
    </row>
    <row r="42" spans="1:3" ht="12.75">
      <c r="A42" s="1" t="s">
        <v>152</v>
      </c>
      <c r="B42" s="253">
        <v>6.1</v>
      </c>
      <c r="C42" s="253">
        <v>18.5</v>
      </c>
    </row>
    <row r="43" spans="1:3" ht="12.75">
      <c r="A43" s="1" t="s">
        <v>151</v>
      </c>
      <c r="B43" s="253">
        <v>7.22</v>
      </c>
      <c r="C43" s="253">
        <v>21.8</v>
      </c>
    </row>
    <row r="44" spans="1:3" ht="12.75">
      <c r="A44" s="1" t="s">
        <v>153</v>
      </c>
      <c r="B44" s="253">
        <v>8.4</v>
      </c>
      <c r="C44" s="253">
        <v>19.5</v>
      </c>
    </row>
    <row r="45" spans="1:3" ht="12.75">
      <c r="A45" s="1" t="s">
        <v>154</v>
      </c>
      <c r="B45" s="253">
        <v>9.84</v>
      </c>
      <c r="C45" s="253">
        <v>31.6</v>
      </c>
    </row>
    <row r="46" spans="1:3" ht="12.75">
      <c r="A46" s="1" t="s">
        <v>155</v>
      </c>
      <c r="B46" s="253">
        <v>10.8</v>
      </c>
      <c r="C46" s="253">
        <v>34.5</v>
      </c>
    </row>
    <row r="47" spans="1:3" ht="12.75">
      <c r="A47" s="1" t="s">
        <v>156</v>
      </c>
      <c r="B47" s="253">
        <v>10.6</v>
      </c>
      <c r="C47" s="253">
        <v>31.5</v>
      </c>
    </row>
    <row r="48" spans="1:3" ht="12.75">
      <c r="A48" s="1" t="s">
        <v>157</v>
      </c>
      <c r="B48" s="253">
        <v>12.24</v>
      </c>
      <c r="C48" s="253">
        <v>35.5</v>
      </c>
    </row>
    <row r="49" spans="1:3" ht="12.75">
      <c r="A49" s="1" t="s">
        <v>158</v>
      </c>
      <c r="B49" s="253">
        <v>13.4</v>
      </c>
      <c r="C49" s="253">
        <v>39.7</v>
      </c>
    </row>
  </sheetData>
  <sheetProtection password="DBB7" sheet="1" objects="1" scenarios="1"/>
  <mergeCells count="2">
    <mergeCell ref="B2:K2"/>
    <mergeCell ref="B1:K1"/>
  </mergeCells>
  <printOptions/>
  <pageMargins left="0.75" right="0.75" top="1" bottom="1" header="0.5" footer="0.5"/>
  <pageSetup horizontalDpi="600" verticalDpi="600" orientation="landscape"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Kunye Zhu</cp:lastModifiedBy>
  <cp:lastPrinted>2009-02-10T19:07:05Z</cp:lastPrinted>
  <dcterms:created xsi:type="dcterms:W3CDTF">1999-03-22T17:47:22Z</dcterms:created>
  <dcterms:modified xsi:type="dcterms:W3CDTF">2011-01-28T10:58:26Z</dcterms:modified>
  <cp:category/>
  <cp:version/>
  <cp:contentType/>
  <cp:contentStatus/>
</cp:coreProperties>
</file>